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3-24/Transparency Data/"/>
    </mc:Choice>
  </mc:AlternateContent>
  <xr:revisionPtr revIDLastSave="1778" documentId="14_{3EEE2164-F532-4C78-A0F5-624A6D2268C8}" xr6:coauthVersionLast="47" xr6:coauthVersionMax="47" xr10:uidLastSave="{425013C1-3F4E-46FD-BD6E-C05DDE370EBF}"/>
  <bookViews>
    <workbookView xWindow="-110" yWindow="-110" windowWidth="22780" windowHeight="14660" firstSheet="2" activeTab="4" xr2:uid="{00000000-000D-0000-FFFF-FFFF00000000}"/>
  </bookViews>
  <sheets>
    <sheet name="Apr - Jun 2023" sheetId="1" r:id="rId1"/>
    <sheet name="Jul - Sep 2023" sheetId="2" r:id="rId2"/>
    <sheet name="Oct - Dec 2023" sheetId="3" r:id="rId3"/>
    <sheet name="Jan - Mar 2024" sheetId="4" r:id="rId4"/>
    <sheet name="Summary 2023-24" sheetId="12" r:id="rId5"/>
  </sheets>
  <definedNames>
    <definedName name="_xlnm._FilterDatabase" localSheetId="3" hidden="1">'Jan - Mar 2024'!$A$2:$M$56</definedName>
    <definedName name="_xlnm._FilterDatabase" localSheetId="4" hidden="1">'Summary 2023-24'!$A$2:$I$2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4" l="1"/>
  <c r="I52" i="4"/>
  <c r="J52" i="4"/>
  <c r="K52" i="4"/>
  <c r="L52" i="4"/>
  <c r="G52" i="4"/>
  <c r="H21" i="4"/>
  <c r="I21" i="4"/>
  <c r="J21" i="4"/>
  <c r="K21" i="4"/>
  <c r="L21" i="4"/>
  <c r="G21" i="4"/>
  <c r="H36" i="4"/>
  <c r="I36" i="4"/>
  <c r="J36" i="4"/>
  <c r="K36" i="4"/>
  <c r="L36" i="4"/>
  <c r="G36" i="4"/>
  <c r="H15" i="4"/>
  <c r="I15" i="4"/>
  <c r="J15" i="4"/>
  <c r="K15" i="4"/>
  <c r="L15" i="4"/>
  <c r="G15" i="4"/>
  <c r="H13" i="4"/>
  <c r="I13" i="4"/>
  <c r="J13" i="4"/>
  <c r="K13" i="4"/>
  <c r="L13" i="4"/>
  <c r="G13" i="4"/>
  <c r="H11" i="4"/>
  <c r="I11" i="4"/>
  <c r="J11" i="4"/>
  <c r="K11" i="4"/>
  <c r="L11" i="4"/>
  <c r="G11" i="4"/>
  <c r="M54" i="4"/>
  <c r="M53" i="4"/>
  <c r="M51" i="4"/>
  <c r="M50" i="4"/>
  <c r="M49" i="4"/>
  <c r="M52" i="4" s="1"/>
  <c r="M47" i="4"/>
  <c r="M46" i="4"/>
  <c r="M45" i="4"/>
  <c r="M44" i="4"/>
  <c r="M43" i="4"/>
  <c r="M42" i="4"/>
  <c r="M41" i="4"/>
  <c r="M40" i="4"/>
  <c r="M39" i="4"/>
  <c r="M38" i="4"/>
  <c r="M37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0" i="4"/>
  <c r="M19" i="4"/>
  <c r="M18" i="4"/>
  <c r="M16" i="4"/>
  <c r="M14" i="4"/>
  <c r="M15" i="4" s="1"/>
  <c r="M12" i="4"/>
  <c r="M13" i="4" s="1"/>
  <c r="M10" i="4"/>
  <c r="M11" i="4" s="1"/>
  <c r="M7" i="4"/>
  <c r="M5" i="4"/>
  <c r="M3" i="4"/>
  <c r="H9" i="4"/>
  <c r="I9" i="4"/>
  <c r="K9" i="4"/>
  <c r="L9" i="4"/>
  <c r="G9" i="4"/>
  <c r="H48" i="4"/>
  <c r="I48" i="4"/>
  <c r="J48" i="4"/>
  <c r="K48" i="4"/>
  <c r="L48" i="4"/>
  <c r="G48" i="4"/>
  <c r="J8" i="4"/>
  <c r="M8" i="4" s="1"/>
  <c r="M21" i="4" l="1"/>
  <c r="M36" i="4"/>
  <c r="J9" i="4"/>
  <c r="M9" i="4"/>
  <c r="M48" i="4"/>
  <c r="I15" i="12"/>
  <c r="H37" i="3"/>
  <c r="K38" i="3"/>
  <c r="M38" i="3" s="1"/>
  <c r="H20" i="3"/>
  <c r="M14" i="3"/>
  <c r="H29" i="3"/>
  <c r="K41" i="3"/>
  <c r="M41" i="3" s="1"/>
  <c r="G51" i="3"/>
  <c r="H51" i="3"/>
  <c r="J51" i="3"/>
  <c r="L51" i="3"/>
  <c r="M46" i="3"/>
  <c r="M47" i="3"/>
  <c r="M48" i="3"/>
  <c r="M49" i="3"/>
  <c r="M50" i="3"/>
  <c r="M32" i="3"/>
  <c r="H43" i="3"/>
  <c r="M34" i="3"/>
  <c r="M33" i="3"/>
  <c r="M31" i="3"/>
  <c r="M35" i="3"/>
  <c r="H36" i="3"/>
  <c r="I36" i="3"/>
  <c r="J36" i="3"/>
  <c r="K36" i="3"/>
  <c r="L36" i="3"/>
  <c r="G36" i="3"/>
  <c r="L43" i="3"/>
  <c r="J43" i="3"/>
  <c r="I43" i="3"/>
  <c r="G43" i="3"/>
  <c r="M42" i="3"/>
  <c r="M39" i="3"/>
  <c r="L29" i="3"/>
  <c r="K29" i="3"/>
  <c r="J29" i="3"/>
  <c r="G29" i="3"/>
  <c r="I29" i="3"/>
  <c r="M24" i="3"/>
  <c r="M25" i="3"/>
  <c r="M26" i="3"/>
  <c r="M27" i="3"/>
  <c r="M28" i="3"/>
  <c r="M45" i="3"/>
  <c r="K44" i="3"/>
  <c r="K51" i="3" s="1"/>
  <c r="I44" i="3"/>
  <c r="I51" i="3" s="1"/>
  <c r="H22" i="2"/>
  <c r="I22" i="2"/>
  <c r="J22" i="2"/>
  <c r="K22" i="2"/>
  <c r="L22" i="2"/>
  <c r="G22" i="2"/>
  <c r="M20" i="2"/>
  <c r="M14" i="2"/>
  <c r="H16" i="2"/>
  <c r="I16" i="2"/>
  <c r="J16" i="2"/>
  <c r="K16" i="2"/>
  <c r="L16" i="2"/>
  <c r="G16" i="2"/>
  <c r="H27" i="2"/>
  <c r="H26" i="2"/>
  <c r="M26" i="2" s="1"/>
  <c r="H25" i="2"/>
  <c r="I29" i="2"/>
  <c r="J29" i="2"/>
  <c r="K29" i="2"/>
  <c r="L29" i="2"/>
  <c r="G29" i="2"/>
  <c r="K45" i="2"/>
  <c r="M45" i="2" s="1"/>
  <c r="K42" i="2"/>
  <c r="M42" i="2" s="1"/>
  <c r="K41" i="2"/>
  <c r="K40" i="2"/>
  <c r="M40" i="2" s="1"/>
  <c r="M61" i="2"/>
  <c r="M56" i="2"/>
  <c r="I60" i="2"/>
  <c r="M60" i="2" s="1"/>
  <c r="K59" i="2"/>
  <c r="M59" i="2" s="1"/>
  <c r="K58" i="2"/>
  <c r="H58" i="2"/>
  <c r="H57" i="2"/>
  <c r="K57" i="2"/>
  <c r="M62" i="2"/>
  <c r="G63" i="2"/>
  <c r="M63" i="2" s="1"/>
  <c r="M64" i="2"/>
  <c r="M65" i="2"/>
  <c r="H9" i="2"/>
  <c r="H12" i="2" s="1"/>
  <c r="I12" i="2"/>
  <c r="J12" i="2"/>
  <c r="K12" i="2"/>
  <c r="L12" i="2"/>
  <c r="G12" i="2"/>
  <c r="M10" i="2"/>
  <c r="H49" i="2"/>
  <c r="H54" i="2" s="1"/>
  <c r="I54" i="2"/>
  <c r="J54" i="2"/>
  <c r="K54" i="2"/>
  <c r="L54" i="2"/>
  <c r="G54" i="2"/>
  <c r="M50" i="2"/>
  <c r="M51" i="2"/>
  <c r="M52" i="2"/>
  <c r="H33" i="2"/>
  <c r="H38" i="2" s="1"/>
  <c r="I38" i="2"/>
  <c r="J38" i="2"/>
  <c r="K38" i="2"/>
  <c r="L38" i="2"/>
  <c r="G38" i="2"/>
  <c r="M31" i="2"/>
  <c r="M32" i="2"/>
  <c r="M34" i="2"/>
  <c r="M35" i="2"/>
  <c r="M36" i="2"/>
  <c r="H46" i="2"/>
  <c r="H48" i="2" s="1"/>
  <c r="I48" i="2"/>
  <c r="J48" i="2"/>
  <c r="L48" i="2"/>
  <c r="G48" i="2"/>
  <c r="M43" i="2"/>
  <c r="M44" i="2"/>
  <c r="M55" i="2"/>
  <c r="J67" i="2"/>
  <c r="L67" i="2"/>
  <c r="K53" i="1"/>
  <c r="K46" i="1"/>
  <c r="M46" i="1" s="1"/>
  <c r="M38" i="1"/>
  <c r="M39" i="1"/>
  <c r="K50" i="1"/>
  <c r="M50" i="1" s="1"/>
  <c r="K49" i="1"/>
  <c r="M49" i="1" s="1"/>
  <c r="M48" i="1"/>
  <c r="M47" i="1"/>
  <c r="H10" i="1"/>
  <c r="M10" i="1" s="1"/>
  <c r="H9" i="1"/>
  <c r="M11" i="1"/>
  <c r="I12" i="1"/>
  <c r="J12" i="1"/>
  <c r="K12" i="1"/>
  <c r="L12" i="1"/>
  <c r="G12" i="1"/>
  <c r="G16" i="1"/>
  <c r="I16" i="1"/>
  <c r="J16" i="1"/>
  <c r="K16" i="1"/>
  <c r="L16" i="1"/>
  <c r="H16" i="1"/>
  <c r="M14" i="1"/>
  <c r="M15" i="1"/>
  <c r="M37" i="3" l="1"/>
  <c r="K43" i="3"/>
  <c r="H29" i="2"/>
  <c r="M57" i="2"/>
  <c r="M27" i="2"/>
  <c r="I67" i="2"/>
  <c r="K48" i="2"/>
  <c r="M58" i="2"/>
  <c r="M67" i="2" s="1"/>
  <c r="M41" i="2"/>
  <c r="K67" i="2"/>
  <c r="M33" i="2"/>
  <c r="H67" i="2"/>
  <c r="M46" i="2"/>
  <c r="G67" i="2"/>
  <c r="H12" i="1"/>
  <c r="I21" i="1" l="1"/>
  <c r="I23" i="1" s="1"/>
  <c r="H23" i="1"/>
  <c r="J23" i="1"/>
  <c r="K23" i="1"/>
  <c r="L23" i="1"/>
  <c r="G23" i="1"/>
  <c r="K26" i="1"/>
  <c r="H25" i="1"/>
  <c r="K37" i="1"/>
  <c r="H37" i="1"/>
  <c r="K44" i="1"/>
  <c r="K45" i="1"/>
  <c r="M60" i="1"/>
  <c r="K56" i="1"/>
  <c r="M56" i="1" s="1"/>
  <c r="M57" i="1"/>
  <c r="K55" i="1"/>
  <c r="H55" i="1"/>
  <c r="K54" i="1"/>
  <c r="M54" i="1" s="1"/>
  <c r="K52" i="1" l="1"/>
  <c r="M55" i="1"/>
  <c r="M35" i="1" l="1"/>
  <c r="M36" i="1"/>
  <c r="M37" i="1"/>
  <c r="M40" i="1"/>
  <c r="H41" i="1"/>
  <c r="I41" i="1"/>
  <c r="J41" i="1"/>
  <c r="K41" i="1"/>
  <c r="L41" i="1"/>
  <c r="G41" i="1"/>
  <c r="H52" i="1"/>
  <c r="I52" i="1"/>
  <c r="J52" i="1"/>
  <c r="L52" i="1"/>
  <c r="G52" i="1"/>
  <c r="M43" i="1"/>
  <c r="M44" i="1"/>
  <c r="M45" i="1"/>
  <c r="M51" i="1"/>
  <c r="M30" i="1"/>
  <c r="H31" i="1"/>
  <c r="M31" i="1" s="1"/>
  <c r="I33" i="1"/>
  <c r="E12" i="12" s="1"/>
  <c r="J33" i="1"/>
  <c r="F12" i="12" s="1"/>
  <c r="K33" i="1"/>
  <c r="G12" i="12" s="1"/>
  <c r="L33" i="1"/>
  <c r="H12" i="12" s="1"/>
  <c r="G33" i="1"/>
  <c r="C12" i="12" s="1"/>
  <c r="M25" i="1"/>
  <c r="M26" i="1"/>
  <c r="M27" i="1"/>
  <c r="M28" i="1"/>
  <c r="M29" i="1"/>
  <c r="M32" i="1"/>
  <c r="M24" i="1"/>
  <c r="M58" i="1"/>
  <c r="M59" i="1"/>
  <c r="M61" i="1"/>
  <c r="M62" i="1"/>
  <c r="M63" i="1"/>
  <c r="M64" i="1"/>
  <c r="H66" i="1"/>
  <c r="I66" i="1"/>
  <c r="J66" i="1"/>
  <c r="K66" i="1"/>
  <c r="L66" i="1"/>
  <c r="G66" i="1"/>
  <c r="H33" i="1" l="1"/>
  <c r="D12" i="12" s="1"/>
  <c r="M33" i="1"/>
  <c r="I5" i="12" l="1"/>
  <c r="I4" i="12"/>
  <c r="I3" i="12"/>
  <c r="A10" i="12"/>
  <c r="A9" i="12"/>
  <c r="A8" i="12"/>
  <c r="A7" i="12"/>
  <c r="A6" i="12"/>
  <c r="A5" i="12"/>
  <c r="A4" i="12"/>
  <c r="A3" i="12"/>
  <c r="M43" i="3" l="1"/>
  <c r="M9" i="3"/>
  <c r="M30" i="3"/>
  <c r="M36" i="3" s="1"/>
  <c r="M44" i="3"/>
  <c r="M51" i="3" s="1"/>
  <c r="M23" i="3"/>
  <c r="M29" i="3" s="1"/>
  <c r="G10" i="3"/>
  <c r="L13" i="3"/>
  <c r="K13" i="3"/>
  <c r="J13" i="3"/>
  <c r="I13" i="3"/>
  <c r="H13" i="3"/>
  <c r="L16" i="3"/>
  <c r="K16" i="3"/>
  <c r="J16" i="3"/>
  <c r="I16" i="3"/>
  <c r="H16" i="3"/>
  <c r="G16" i="3"/>
  <c r="L19" i="3"/>
  <c r="K19" i="3"/>
  <c r="J19" i="3"/>
  <c r="I19" i="3"/>
  <c r="H19" i="3"/>
  <c r="G19" i="3"/>
  <c r="L22" i="3"/>
  <c r="K22" i="3"/>
  <c r="J22" i="3"/>
  <c r="I22" i="3"/>
  <c r="G22" i="3"/>
  <c r="H22" i="3"/>
  <c r="H10" i="3" l="1"/>
  <c r="M42" i="1"/>
  <c r="M52" i="1" s="1"/>
  <c r="M49" i="2"/>
  <c r="M54" i="2" s="1"/>
  <c r="L69" i="1"/>
  <c r="H17" i="12" s="1"/>
  <c r="K69" i="1"/>
  <c r="G17" i="12" s="1"/>
  <c r="J69" i="1"/>
  <c r="F17" i="12" s="1"/>
  <c r="I69" i="1"/>
  <c r="E17" i="12" s="1"/>
  <c r="H69" i="1"/>
  <c r="D17" i="12" s="1"/>
  <c r="G69" i="1"/>
  <c r="C17" i="12" s="1"/>
  <c r="M67" i="1"/>
  <c r="M69" i="1" s="1"/>
  <c r="M53" i="1"/>
  <c r="M66" i="1" s="1"/>
  <c r="M34" i="1"/>
  <c r="M41" i="1" s="1"/>
  <c r="M21" i="1"/>
  <c r="M23" i="1" s="1"/>
  <c r="L20" i="1"/>
  <c r="K20" i="1"/>
  <c r="J20" i="1"/>
  <c r="I20" i="1"/>
  <c r="H20" i="1"/>
  <c r="G20" i="1"/>
  <c r="M19" i="1"/>
  <c r="M20" i="1" s="1"/>
  <c r="L18" i="1"/>
  <c r="K18" i="1"/>
  <c r="J18" i="1"/>
  <c r="I18" i="1"/>
  <c r="H18" i="1"/>
  <c r="G18" i="1"/>
  <c r="M17" i="1"/>
  <c r="M13" i="1"/>
  <c r="M16" i="1" s="1"/>
  <c r="M9" i="1"/>
  <c r="M12" i="1" s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I17" i="12" l="1"/>
  <c r="J70" i="1"/>
  <c r="G70" i="1"/>
  <c r="K70" i="1"/>
  <c r="H70" i="1"/>
  <c r="L70" i="1"/>
  <c r="I70" i="1"/>
  <c r="M75" i="1"/>
  <c r="J75" i="1"/>
  <c r="G75" i="1"/>
  <c r="K75" i="1"/>
  <c r="H75" i="1"/>
  <c r="L75" i="1"/>
  <c r="I75" i="1"/>
  <c r="E16" i="12"/>
  <c r="H16" i="12"/>
  <c r="G16" i="12"/>
  <c r="F16" i="12"/>
  <c r="C16" i="12"/>
  <c r="D16" i="12"/>
  <c r="M18" i="1"/>
  <c r="M6" i="1"/>
  <c r="M70" i="1" l="1"/>
  <c r="I12" i="12"/>
  <c r="G74" i="1"/>
  <c r="G76" i="1" s="1"/>
  <c r="G77" i="1" s="1"/>
  <c r="I16" i="12"/>
  <c r="H74" i="1"/>
  <c r="H76" i="1" s="1"/>
  <c r="H77" i="1" s="1"/>
  <c r="I74" i="1"/>
  <c r="I76" i="1" s="1"/>
  <c r="I77" i="1" s="1"/>
  <c r="L74" i="1"/>
  <c r="L76" i="1" s="1"/>
  <c r="L77" i="1" s="1"/>
  <c r="J74" i="1"/>
  <c r="J76" i="1" s="1"/>
  <c r="J77" i="1" s="1"/>
  <c r="K74" i="1"/>
  <c r="K76" i="1" s="1"/>
  <c r="K77" i="1" s="1"/>
  <c r="M74" i="1" l="1"/>
  <c r="M76" i="1"/>
  <c r="M77" i="1"/>
  <c r="L6" i="4" l="1"/>
  <c r="K6" i="4"/>
  <c r="J6" i="4"/>
  <c r="I6" i="4"/>
  <c r="H6" i="4"/>
  <c r="G6" i="4"/>
  <c r="M6" i="4"/>
  <c r="C14" i="12"/>
  <c r="G55" i="3" l="1"/>
  <c r="L53" i="3"/>
  <c r="K53" i="3"/>
  <c r="J53" i="3"/>
  <c r="I53" i="3"/>
  <c r="H53" i="3"/>
  <c r="G53" i="3"/>
  <c r="M52" i="3"/>
  <c r="M5" i="3"/>
  <c r="K6" i="3"/>
  <c r="L6" i="3"/>
  <c r="J6" i="3"/>
  <c r="I6" i="3"/>
  <c r="H6" i="3"/>
  <c r="G6" i="3"/>
  <c r="G63" i="3" l="1"/>
  <c r="M6" i="3"/>
  <c r="M53" i="3"/>
  <c r="H69" i="2"/>
  <c r="H77" i="2" s="1"/>
  <c r="L69" i="2"/>
  <c r="L77" i="2" s="1"/>
  <c r="K69" i="2"/>
  <c r="K77" i="2" s="1"/>
  <c r="J69" i="2"/>
  <c r="J77" i="2" s="1"/>
  <c r="I69" i="2"/>
  <c r="I77" i="2" s="1"/>
  <c r="D13" i="12" l="1"/>
  <c r="M11" i="3" l="1"/>
  <c r="I17" i="4"/>
  <c r="H17" i="4"/>
  <c r="J17" i="4"/>
  <c r="K17" i="4"/>
  <c r="L17" i="4"/>
  <c r="G17" i="4"/>
  <c r="M4" i="4"/>
  <c r="L55" i="4"/>
  <c r="K55" i="4"/>
  <c r="J55" i="4"/>
  <c r="I55" i="4"/>
  <c r="H55" i="4"/>
  <c r="G55" i="4"/>
  <c r="L4" i="4"/>
  <c r="K4" i="4"/>
  <c r="J4" i="4"/>
  <c r="I4" i="4"/>
  <c r="H4" i="4"/>
  <c r="G4" i="4"/>
  <c r="H63" i="4"/>
  <c r="I63" i="4"/>
  <c r="J63" i="4"/>
  <c r="K63" i="4"/>
  <c r="L63" i="4"/>
  <c r="G63" i="4"/>
  <c r="H56" i="4" l="1"/>
  <c r="H62" i="4" s="1"/>
  <c r="H64" i="4" s="1"/>
  <c r="L56" i="4"/>
  <c r="J56" i="4"/>
  <c r="G56" i="4"/>
  <c r="G62" i="4" s="1"/>
  <c r="K56" i="4"/>
  <c r="K62" i="4" s="1"/>
  <c r="M55" i="4"/>
  <c r="M17" i="4"/>
  <c r="I56" i="4"/>
  <c r="M63" i="4"/>
  <c r="M56" i="4" l="1"/>
  <c r="L55" i="3" l="1"/>
  <c r="L63" i="3" s="1"/>
  <c r="K55" i="3"/>
  <c r="K63" i="3" s="1"/>
  <c r="J55" i="3"/>
  <c r="J63" i="3" s="1"/>
  <c r="I55" i="3"/>
  <c r="I63" i="3" s="1"/>
  <c r="H55" i="3"/>
  <c r="H63" i="3" s="1"/>
  <c r="M54" i="3"/>
  <c r="M20" i="3"/>
  <c r="M22" i="3" s="1"/>
  <c r="M17" i="3"/>
  <c r="M19" i="3" s="1"/>
  <c r="M16" i="3"/>
  <c r="G13" i="3"/>
  <c r="M13" i="3"/>
  <c r="L10" i="3"/>
  <c r="K10" i="3"/>
  <c r="J10" i="3"/>
  <c r="I10" i="3"/>
  <c r="L8" i="3"/>
  <c r="K8" i="3"/>
  <c r="J8" i="3"/>
  <c r="I8" i="3"/>
  <c r="H8" i="3"/>
  <c r="G8" i="3"/>
  <c r="M7" i="3"/>
  <c r="M3" i="3"/>
  <c r="I4" i="3"/>
  <c r="I56" i="3" s="1"/>
  <c r="J4" i="3"/>
  <c r="K4" i="3"/>
  <c r="L4" i="3"/>
  <c r="L56" i="3" s="1"/>
  <c r="G4" i="3"/>
  <c r="H4" i="3"/>
  <c r="H56" i="3" l="1"/>
  <c r="K56" i="3"/>
  <c r="G56" i="3"/>
  <c r="G62" i="3" s="1"/>
  <c r="J56" i="3"/>
  <c r="J62" i="3" s="1"/>
  <c r="H62" i="3"/>
  <c r="L62" i="3"/>
  <c r="G64" i="3"/>
  <c r="I62" i="3"/>
  <c r="K62" i="3"/>
  <c r="M55" i="3"/>
  <c r="M63" i="3" s="1"/>
  <c r="M4" i="3"/>
  <c r="M56" i="3" s="1"/>
  <c r="M8" i="3"/>
  <c r="M10" i="3"/>
  <c r="D6" i="12"/>
  <c r="E6" i="12"/>
  <c r="F6" i="12"/>
  <c r="G6" i="12"/>
  <c r="H6" i="12"/>
  <c r="D7" i="12"/>
  <c r="E7" i="12"/>
  <c r="F7" i="12"/>
  <c r="G7" i="12"/>
  <c r="H7" i="12"/>
  <c r="H18" i="2"/>
  <c r="D8" i="12" s="1"/>
  <c r="I18" i="2"/>
  <c r="E8" i="12" s="1"/>
  <c r="J18" i="2"/>
  <c r="F8" i="12" s="1"/>
  <c r="K18" i="2"/>
  <c r="G8" i="12" s="1"/>
  <c r="L18" i="2"/>
  <c r="H8" i="12" s="1"/>
  <c r="M62" i="3" l="1"/>
  <c r="H14" i="12"/>
  <c r="F14" i="12"/>
  <c r="E14" i="12"/>
  <c r="G14" i="12"/>
  <c r="G18" i="2" l="1"/>
  <c r="C8" i="12" s="1"/>
  <c r="I8" i="12" s="1"/>
  <c r="M17" i="2"/>
  <c r="D9" i="12"/>
  <c r="M13" i="2"/>
  <c r="M16" i="2" s="1"/>
  <c r="G4" i="2"/>
  <c r="G6" i="2"/>
  <c r="G8" i="2"/>
  <c r="C6" i="12"/>
  <c r="C7" i="12"/>
  <c r="I7" i="12" s="1"/>
  <c r="C9" i="12"/>
  <c r="G24" i="2"/>
  <c r="C10" i="12"/>
  <c r="C13" i="12"/>
  <c r="C24" i="12" s="1"/>
  <c r="G69" i="2"/>
  <c r="G77" i="2" s="1"/>
  <c r="M9" i="2"/>
  <c r="M12" i="2" s="1"/>
  <c r="M19" i="2"/>
  <c r="M22" i="2" s="1"/>
  <c r="M23" i="2"/>
  <c r="D10" i="12"/>
  <c r="E10" i="12"/>
  <c r="F10" i="12"/>
  <c r="G10" i="12"/>
  <c r="H10" i="12"/>
  <c r="E13" i="12"/>
  <c r="E24" i="12" s="1"/>
  <c r="F13" i="12"/>
  <c r="F24" i="12" s="1"/>
  <c r="G13" i="12"/>
  <c r="G24" i="12" s="1"/>
  <c r="H13" i="12"/>
  <c r="H24" i="12" s="1"/>
  <c r="H4" i="2"/>
  <c r="H6" i="2"/>
  <c r="H8" i="2"/>
  <c r="H24" i="2"/>
  <c r="K4" i="2"/>
  <c r="K6" i="2"/>
  <c r="K8" i="2"/>
  <c r="G9" i="12"/>
  <c r="K24" i="2"/>
  <c r="L4" i="2"/>
  <c r="L6" i="2"/>
  <c r="L8" i="2"/>
  <c r="H9" i="12"/>
  <c r="L24" i="2"/>
  <c r="I4" i="2"/>
  <c r="I6" i="2"/>
  <c r="I8" i="2"/>
  <c r="E9" i="12"/>
  <c r="I24" i="2"/>
  <c r="J4" i="2"/>
  <c r="J6" i="2"/>
  <c r="J8" i="2"/>
  <c r="F9" i="12"/>
  <c r="J24" i="2"/>
  <c r="M68" i="2"/>
  <c r="M69" i="2" s="1"/>
  <c r="M77" i="2" s="1"/>
  <c r="M39" i="2"/>
  <c r="M48" i="2" s="1"/>
  <c r="M30" i="2"/>
  <c r="M38" i="2" s="1"/>
  <c r="M25" i="2"/>
  <c r="M29" i="2" s="1"/>
  <c r="M7" i="2"/>
  <c r="M5" i="2"/>
  <c r="M3" i="2"/>
  <c r="I62" i="4"/>
  <c r="I64" i="4" s="1"/>
  <c r="I65" i="4" s="1"/>
  <c r="L62" i="4"/>
  <c r="L64" i="4" s="1"/>
  <c r="L65" i="4" s="1"/>
  <c r="M64" i="3"/>
  <c r="C23" i="12" l="1"/>
  <c r="C25" i="12" s="1"/>
  <c r="I6" i="12"/>
  <c r="C19" i="12"/>
  <c r="H19" i="12"/>
  <c r="H23" i="12"/>
  <c r="H25" i="12" s="1"/>
  <c r="H26" i="12" s="1"/>
  <c r="D23" i="12"/>
  <c r="G23" i="12"/>
  <c r="G25" i="12" s="1"/>
  <c r="G26" i="12" s="1"/>
  <c r="G19" i="12"/>
  <c r="F23" i="12"/>
  <c r="F25" i="12" s="1"/>
  <c r="F26" i="12" s="1"/>
  <c r="F19" i="12"/>
  <c r="E19" i="12"/>
  <c r="E23" i="12"/>
  <c r="E25" i="12" s="1"/>
  <c r="E26" i="12" s="1"/>
  <c r="I9" i="12"/>
  <c r="I10" i="12"/>
  <c r="I13" i="12"/>
  <c r="D14" i="12"/>
  <c r="H70" i="2"/>
  <c r="K70" i="2"/>
  <c r="G70" i="2"/>
  <c r="J70" i="2"/>
  <c r="I70" i="2"/>
  <c r="L70" i="2"/>
  <c r="G64" i="4"/>
  <c r="H65" i="4"/>
  <c r="K64" i="4"/>
  <c r="K65" i="4" s="1"/>
  <c r="J62" i="4"/>
  <c r="J64" i="4" s="1"/>
  <c r="J65" i="4" s="1"/>
  <c r="M18" i="2"/>
  <c r="J64" i="3"/>
  <c r="M24" i="2"/>
  <c r="M62" i="4"/>
  <c r="I14" i="12" l="1"/>
  <c r="I24" i="12" s="1"/>
  <c r="D24" i="12"/>
  <c r="D25" i="12" s="1"/>
  <c r="D19" i="12"/>
  <c r="I23" i="12"/>
  <c r="C26" i="12"/>
  <c r="M70" i="2"/>
  <c r="G76" i="2"/>
  <c r="G78" i="2" s="1"/>
  <c r="G65" i="4"/>
  <c r="M65" i="4" s="1"/>
  <c r="M64" i="4"/>
  <c r="J76" i="2"/>
  <c r="J78" i="2" s="1"/>
  <c r="H76" i="2"/>
  <c r="H78" i="2" s="1"/>
  <c r="I76" i="2"/>
  <c r="I78" i="2" s="1"/>
  <c r="K76" i="2"/>
  <c r="K78" i="2" s="1"/>
  <c r="L76" i="2"/>
  <c r="H64" i="3"/>
  <c r="L64" i="3"/>
  <c r="K64" i="3"/>
  <c r="I64" i="3"/>
  <c r="I19" i="12" l="1"/>
  <c r="D26" i="12"/>
  <c r="I26" i="12" s="1"/>
  <c r="I25" i="12"/>
  <c r="L78" i="2"/>
  <c r="M78" i="2" s="1"/>
  <c r="M76" i="2"/>
</calcChain>
</file>

<file path=xl/sharedStrings.xml><?xml version="1.0" encoding="utf-8"?>
<sst xmlns="http://schemas.openxmlformats.org/spreadsheetml/2006/main" count="784" uniqueCount="142">
  <si>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</si>
  <si>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</si>
  <si>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</si>
  <si>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</si>
  <si>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</si>
  <si>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</si>
  <si>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</si>
  <si>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</si>
  <si>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</si>
  <si>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</si>
  <si>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</si>
  <si>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</si>
  <si>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</si>
  <si>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</si>
  <si>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</si>
  <si>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</si>
  <si>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</si>
  <si>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</si>
  <si>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</si>
  <si>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</si>
  <si>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</si>
  <si>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</si>
  <si>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</si>
  <si>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 xml:space="preserve"> Mileage / Parking</t>
  </si>
  <si>
    <t xml:space="preserve">Taxi </t>
  </si>
  <si>
    <t>Chief Executive</t>
  </si>
  <si>
    <t>SENIOR MANAGEMENT</t>
  </si>
  <si>
    <t>Milage</t>
  </si>
  <si>
    <t>Taxi</t>
  </si>
  <si>
    <t>L Dineley</t>
  </si>
  <si>
    <t xml:space="preserve"> MEMBERS &amp; DIRECTORS - EXPENSES CLAIMS / INVOICES RECEIVED BETWEEN 1ST APRIL 2022 AND 31ST MARCH 2023</t>
  </si>
  <si>
    <t>Sullivan, Colin</t>
  </si>
  <si>
    <t>Harrison, Nicky</t>
  </si>
  <si>
    <t>Director of Regulation</t>
  </si>
  <si>
    <t>Authority Member</t>
  </si>
  <si>
    <t>London</t>
  </si>
  <si>
    <t>Greenfield, Andy</t>
  </si>
  <si>
    <t>Belfast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</si>
  <si>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</si>
  <si>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</si>
  <si>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</si>
  <si>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</si>
  <si>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</si>
  <si>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</si>
  <si>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</si>
  <si>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</si>
  <si>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</si>
  <si>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</si>
  <si>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</si>
  <si>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</si>
  <si>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</si>
  <si>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</si>
  <si>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Brtty, Lynne</t>
  </si>
  <si>
    <t>Bowman, Deborah</t>
  </si>
  <si>
    <t>Chakraborti, Tom</t>
  </si>
  <si>
    <t>Donavan, Ellen</t>
  </si>
  <si>
    <t>Lewis, David</t>
  </si>
  <si>
    <t>Accommo-dation / Meals</t>
  </si>
  <si>
    <t>Milage/
Parking</t>
  </si>
  <si>
    <t>Harrison, Nicolette</t>
  </si>
  <si>
    <t>Director</t>
  </si>
  <si>
    <t>Dr Sullivan, Colin</t>
  </si>
  <si>
    <t>Non Executive Director</t>
  </si>
  <si>
    <t>Non Executive Director, Chair of the Board</t>
  </si>
  <si>
    <t>Lewis,  David</t>
  </si>
  <si>
    <t>David Liewis</t>
  </si>
  <si>
    <t>Ellen Donovan</t>
  </si>
  <si>
    <t>Helen Dodds</t>
  </si>
  <si>
    <t>Gary Crowe</t>
  </si>
  <si>
    <t>Andy Greenfield</t>
  </si>
  <si>
    <t>Non Executive Director, Chair of ARAC</t>
  </si>
  <si>
    <t>Griffiths,  Charmaine</t>
  </si>
  <si>
    <t>Colin Sullivan</t>
  </si>
  <si>
    <t>Nicky Harrison</t>
  </si>
  <si>
    <t>John McDermott</t>
  </si>
  <si>
    <t xml:space="preserve">All Staff Day </t>
  </si>
  <si>
    <t>SMT Away Day</t>
  </si>
  <si>
    <t xml:space="preserve"> MEMBERS &amp; DIRECTORS - EXPENSES CLAIMS / INVOICES RECEIVED BETWEEN 1ST JANUARY AND 31ST MARCH 2024</t>
  </si>
  <si>
    <t xml:space="preserve"> MEMBERS &amp; DIRECTORS - EXPENSES CLAIMS / INVOICES RECEIVED BETWEEN 1ST OCTOBER AND 31ST DECEMBER 2023</t>
  </si>
  <si>
    <t xml:space="preserve"> MEMBERS &amp; DIRECTORS - EXPENSES CLAIMS / INVOICES RECEIVED BETWEEN 1ST JULY AND 30TH SEPTEMBER 2023</t>
  </si>
  <si>
    <t>AUTHORITY  MEMBERS &amp; DIRECTORS - EXPENSES CLAIMS / INVOICES RECEIVED BETWEEN 1ST APRIL AND 30TH JUNE 2023</t>
  </si>
  <si>
    <t xml:space="preserve">Deputy Director </t>
  </si>
  <si>
    <t>Cancelled travel</t>
  </si>
  <si>
    <t>ARAC meeting</t>
  </si>
  <si>
    <t>Public Board Meeting</t>
  </si>
  <si>
    <t>DHSC Quarterly Accountability Meeting</t>
  </si>
  <si>
    <t>SMT Strategy Day</t>
  </si>
  <si>
    <t>Team Day</t>
  </si>
  <si>
    <t>Cancelled Travel</t>
  </si>
  <si>
    <t>Internal meeting &amp; All Staff Day</t>
  </si>
  <si>
    <t>BTS Event</t>
  </si>
  <si>
    <t>Edingburgh</t>
  </si>
  <si>
    <t xml:space="preserve">Internal Meeting  </t>
  </si>
  <si>
    <t>Lap Top bag</t>
  </si>
  <si>
    <t>Inspection observations</t>
  </si>
  <si>
    <t>Devon</t>
  </si>
  <si>
    <t>ARAC Meeting</t>
  </si>
  <si>
    <t>Meeting with external stakeholders</t>
  </si>
  <si>
    <t>Regulatory Training Day</t>
  </si>
  <si>
    <t>ALC Chief Executives &amp; Chairs meeting</t>
  </si>
  <si>
    <t>Windsor Leadership Programme</t>
  </si>
  <si>
    <t xml:space="preserve">Interviews </t>
  </si>
  <si>
    <t>07-09/06/2023</t>
  </si>
  <si>
    <t>NICO Meeting</t>
  </si>
  <si>
    <t>Stormont</t>
  </si>
  <si>
    <t>Deemed consent meeting</t>
  </si>
  <si>
    <t>Leadership Conference</t>
  </si>
  <si>
    <t>Meeting with Western Australian Parlimentary Committee</t>
  </si>
  <si>
    <t>Multi Agency Organ Tourism meeting</t>
  </si>
  <si>
    <t>Induction meeting with new DoFinance</t>
  </si>
  <si>
    <t>All Staff &amp; training meetings</t>
  </si>
  <si>
    <t>Authority Meeting</t>
  </si>
  <si>
    <t>All Staff Meeting &amp; Training</t>
  </si>
  <si>
    <t>27-28/09/2023</t>
  </si>
  <si>
    <t>Internal Meetings</t>
  </si>
  <si>
    <t>Public Board meeting</t>
  </si>
  <si>
    <t>Seminar attendance</t>
  </si>
  <si>
    <t>Team Meeting</t>
  </si>
  <si>
    <t>Internal Meeting</t>
  </si>
  <si>
    <t>Cancelled train ticket</t>
  </si>
  <si>
    <t>All Staff Day</t>
  </si>
  <si>
    <t>Interviews</t>
  </si>
  <si>
    <t>Chairs Meeting</t>
  </si>
  <si>
    <t>Tracked postage (HR)</t>
  </si>
  <si>
    <t>Office meeting</t>
  </si>
  <si>
    <t>Institure of Regulation membership</t>
  </si>
  <si>
    <t>N/A</t>
  </si>
  <si>
    <t>All Staff meeting</t>
  </si>
  <si>
    <t>Tom Skrinar</t>
  </si>
  <si>
    <t>Cancelled rail travel</t>
  </si>
  <si>
    <t>Sept / Oct 2023</t>
  </si>
  <si>
    <t>All Staff</t>
  </si>
  <si>
    <t>Inspection observation</t>
  </si>
  <si>
    <t>Oxford</t>
  </si>
  <si>
    <t>Board meeting</t>
  </si>
  <si>
    <t>CQC meeting</t>
  </si>
  <si>
    <t>Office meeting &amp; Boad meeting</t>
  </si>
  <si>
    <t>05-07/12/2023</t>
  </si>
  <si>
    <t>Skrinar, Tom</t>
  </si>
  <si>
    <t>Office Meeting</t>
  </si>
  <si>
    <t>2RP</t>
  </si>
  <si>
    <t>Cancelled Rail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</si>
</sst>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i/>
      <sz val="11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43" fontId="11" fillId="9" borderId="2" xfId="1" applyFont="1" applyFill="1" applyBorder="1" applyAlignment="1">
      <alignment horizontal="center" vertical="top" wrapText="1"/>
    </xf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0" fontId="14" fillId="0" borderId="13" xfId="5" applyFont="1" applyBorder="1" applyAlignment="1">
      <alignment wrapText="1"/>
    </xf>
    <xf numFmtId="43" fontId="9" fillId="10" borderId="2" xfId="1" applyFont="1" applyFill="1" applyBorder="1"/>
    <xf numFmtId="14" fontId="6" fillId="10" borderId="2" xfId="0" applyNumberFormat="1" applyFont="1" applyFill="1" applyBorder="1" applyAlignment="1">
      <alignment horizontal="left"/>
    </xf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zoomScale="115" zoomScaleNormal="115" workbookViewId="0">
      <pane xSplit="1" ySplit="2" topLeftCell="B32" activePane="bottomRight" state="frozen"/>
      <selection pane="topRight" activeCell="B1" sqref="B1"/>
      <selection pane="bottomLeft" activeCell="A3" sqref="A3"/>
      <selection pane="bottomRight" activeCell="A67" sqref="A67:XFD77"/>
    </sheetView>
  </sheetViews>
  <sheetFormatPr defaultColWidth="9.1796875" defaultRowHeight="14" x14ac:dyDescent="0.3"/>
  <cols>
    <col min="1" max="1" width="16.1796875" style="1" customWidth="1"/>
    <col min="2" max="2" width="29.81640625" style="1" customWidth="1"/>
    <col min="3" max="3" width="9.26953125" style="1" bestFit="1" customWidth="1"/>
    <col min="4" max="4" width="34.7265625" style="1" bestFit="1" customWidth="1"/>
    <col min="5" max="5" width="19.1796875" style="1" customWidth="1"/>
    <col min="6" max="6" width="20.81640625" style="1" customWidth="1"/>
    <col min="7" max="7" width="8.1796875" style="1" customWidth="1"/>
    <col min="8" max="8" width="9.1796875" style="1"/>
    <col min="9" max="9" width="10.7265625" style="1" customWidth="1"/>
    <col min="10" max="14" width="9.1796875" style="1"/>
    <col min="15" max="15" width="10" style="1" customWidth="1"/>
    <col min="16" max="18" width="9.1796875" style="1"/>
    <col min="19" max="19" width="17" style="1" customWidth="1"/>
    <col min="20" max="16384" width="9.1796875" style="1"/>
  </cols>
  <sheetData>
    <row r="1" spans="1:13" ht="22.5" x14ac:dyDescent="0.45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89" customFormat="1" ht="39" x14ac:dyDescent="0.35">
      <c r="A2" s="85" t="s">
        <v>0</v>
      </c>
      <c r="B2" s="85" t="s">
        <v>1</v>
      </c>
      <c r="C2" s="86" t="s">
        <v>2</v>
      </c>
      <c r="D2" s="85" t="s">
        <v>3</v>
      </c>
      <c r="E2" s="85" t="s">
        <v>4</v>
      </c>
      <c r="F2" s="87" t="s">
        <v>5</v>
      </c>
      <c r="G2" s="88" t="s">
        <v>6</v>
      </c>
      <c r="H2" s="88" t="s">
        <v>8</v>
      </c>
      <c r="I2" s="88" t="s">
        <v>58</v>
      </c>
      <c r="J2" s="88" t="s">
        <v>28</v>
      </c>
      <c r="K2" s="88" t="s">
        <v>57</v>
      </c>
      <c r="L2" s="88" t="s">
        <v>11</v>
      </c>
      <c r="M2" s="88" t="s">
        <v>12</v>
      </c>
    </row>
    <row r="3" spans="1:13" hidden="1" x14ac:dyDescent="0.3">
      <c r="A3" s="54" t="s">
        <v>41</v>
      </c>
      <c r="B3" s="54" t="s">
        <v>34</v>
      </c>
      <c r="C3" s="55"/>
      <c r="D3" s="54"/>
      <c r="E3" s="55"/>
      <c r="F3" s="56"/>
      <c r="G3" s="57"/>
      <c r="H3" s="57"/>
      <c r="I3" s="57"/>
      <c r="J3" s="57"/>
      <c r="K3" s="57"/>
      <c r="L3" s="57"/>
      <c r="M3" s="57">
        <f>SUM(G3:L3)</f>
        <v>0</v>
      </c>
    </row>
    <row r="4" spans="1:13" hidden="1" x14ac:dyDescent="0.3">
      <c r="A4" s="58"/>
      <c r="B4" s="59"/>
      <c r="C4" s="60"/>
      <c r="D4" s="61"/>
      <c r="E4" s="62"/>
      <c r="F4" s="59"/>
      <c r="G4" s="63">
        <f t="shared" ref="G4:M4" si="0">SUM(G3:G3)</f>
        <v>0</v>
      </c>
      <c r="H4" s="63">
        <f t="shared" si="0"/>
        <v>0</v>
      </c>
      <c r="I4" s="63">
        <f t="shared" si="0"/>
        <v>0</v>
      </c>
      <c r="J4" s="63">
        <f t="shared" si="0"/>
        <v>0</v>
      </c>
      <c r="K4" s="63">
        <f t="shared" si="0"/>
        <v>0</v>
      </c>
      <c r="L4" s="63">
        <f t="shared" si="0"/>
        <v>0</v>
      </c>
      <c r="M4" s="63">
        <f t="shared" si="0"/>
        <v>0</v>
      </c>
    </row>
    <row r="5" spans="1:13" hidden="1" x14ac:dyDescent="0.3">
      <c r="A5" s="54" t="s">
        <v>53</v>
      </c>
      <c r="B5" s="54" t="s">
        <v>34</v>
      </c>
      <c r="C5" s="55"/>
      <c r="D5" s="54"/>
      <c r="E5" s="55"/>
      <c r="F5" s="56"/>
      <c r="G5" s="57"/>
      <c r="H5" s="57"/>
      <c r="I5" s="57"/>
      <c r="J5" s="57"/>
      <c r="K5" s="57"/>
      <c r="L5" s="57"/>
      <c r="M5" s="57">
        <f t="shared" ref="M5" si="1">SUM(G5:L5)</f>
        <v>0</v>
      </c>
    </row>
    <row r="6" spans="1:13" hidden="1" x14ac:dyDescent="0.3">
      <c r="A6" s="58"/>
      <c r="B6" s="59"/>
      <c r="C6" s="60"/>
      <c r="D6" s="61"/>
      <c r="E6" s="62"/>
      <c r="F6" s="59"/>
      <c r="G6" s="63">
        <f t="shared" ref="G6:M6" si="2">SUM(G5:G5)</f>
        <v>0</v>
      </c>
      <c r="H6" s="63">
        <f t="shared" si="2"/>
        <v>0</v>
      </c>
      <c r="I6" s="63">
        <f t="shared" si="2"/>
        <v>0</v>
      </c>
      <c r="J6" s="63">
        <f t="shared" si="2"/>
        <v>0</v>
      </c>
      <c r="K6" s="63">
        <f t="shared" si="2"/>
        <v>0</v>
      </c>
      <c r="L6" s="63">
        <f t="shared" si="2"/>
        <v>0</v>
      </c>
      <c r="M6" s="63">
        <f t="shared" si="2"/>
        <v>0</v>
      </c>
    </row>
    <row r="7" spans="1:13" hidden="1" x14ac:dyDescent="0.3">
      <c r="A7" s="54" t="s">
        <v>54</v>
      </c>
      <c r="B7" s="54" t="s">
        <v>34</v>
      </c>
      <c r="C7" s="55"/>
      <c r="D7" s="54"/>
      <c r="E7" s="55"/>
      <c r="F7" s="56"/>
      <c r="G7" s="57"/>
      <c r="H7" s="57"/>
      <c r="I7" s="57"/>
      <c r="J7" s="57"/>
      <c r="K7" s="57"/>
      <c r="L7" s="57"/>
      <c r="M7" s="57">
        <f>SUM(G7:L7)</f>
        <v>0</v>
      </c>
    </row>
    <row r="8" spans="1:13" hidden="1" x14ac:dyDescent="0.3">
      <c r="A8" s="58"/>
      <c r="B8" s="59"/>
      <c r="C8" s="60"/>
      <c r="D8" s="61"/>
      <c r="E8" s="62"/>
      <c r="F8" s="59"/>
      <c r="G8" s="63">
        <f t="shared" ref="G8:M8" si="3">SUM(G7)</f>
        <v>0</v>
      </c>
      <c r="H8" s="63">
        <f t="shared" si="3"/>
        <v>0</v>
      </c>
      <c r="I8" s="63">
        <f t="shared" si="3"/>
        <v>0</v>
      </c>
      <c r="J8" s="63">
        <f t="shared" si="3"/>
        <v>0</v>
      </c>
      <c r="K8" s="63">
        <f t="shared" si="3"/>
        <v>0</v>
      </c>
      <c r="L8" s="63">
        <f t="shared" si="3"/>
        <v>0</v>
      </c>
      <c r="M8" s="63">
        <f t="shared" si="3"/>
        <v>0</v>
      </c>
    </row>
    <row r="9" spans="1:13" hidden="1" x14ac:dyDescent="0.3">
      <c r="A9" s="54" t="s">
        <v>40</v>
      </c>
      <c r="B9" s="54" t="s">
        <v>34</v>
      </c>
      <c r="C9" s="55">
        <v>45078</v>
      </c>
      <c r="D9" s="54" t="s">
        <v>96</v>
      </c>
      <c r="E9" s="55">
        <v>45085</v>
      </c>
      <c r="F9" s="56" t="s">
        <v>35</v>
      </c>
      <c r="G9" s="57"/>
      <c r="H9" s="57">
        <f>143.4+13.6</f>
        <v>157</v>
      </c>
      <c r="I9" s="57"/>
      <c r="J9" s="57"/>
      <c r="K9" s="57"/>
      <c r="L9" s="57"/>
      <c r="M9" s="57">
        <f t="shared" ref="M9:M11" si="4">SUM(G9:L9)</f>
        <v>157</v>
      </c>
    </row>
    <row r="10" spans="1:13" hidden="1" x14ac:dyDescent="0.3">
      <c r="A10" s="54" t="s">
        <v>40</v>
      </c>
      <c r="B10" s="54" t="s">
        <v>34</v>
      </c>
      <c r="C10" s="55">
        <v>45100</v>
      </c>
      <c r="D10" s="54" t="s">
        <v>84</v>
      </c>
      <c r="E10" s="55">
        <v>45106</v>
      </c>
      <c r="F10" s="56" t="s">
        <v>35</v>
      </c>
      <c r="G10" s="57"/>
      <c r="H10" s="57">
        <f>143.4+15.4</f>
        <v>158.80000000000001</v>
      </c>
      <c r="I10" s="57"/>
      <c r="J10" s="57"/>
      <c r="K10" s="57">
        <v>129</v>
      </c>
      <c r="L10" s="57"/>
      <c r="M10" s="57">
        <f t="shared" si="4"/>
        <v>287.8</v>
      </c>
    </row>
    <row r="11" spans="1:13" hidden="1" x14ac:dyDescent="0.3">
      <c r="A11" s="54" t="s">
        <v>40</v>
      </c>
      <c r="B11" s="54" t="s">
        <v>34</v>
      </c>
      <c r="C11" s="55"/>
      <c r="D11" s="54"/>
      <c r="E11" s="55"/>
      <c r="F11" s="56"/>
      <c r="G11" s="57"/>
      <c r="H11" s="57"/>
      <c r="I11" s="57"/>
      <c r="J11" s="57"/>
      <c r="K11" s="57"/>
      <c r="L11" s="57"/>
      <c r="M11" s="57">
        <f t="shared" si="4"/>
        <v>0</v>
      </c>
    </row>
    <row r="12" spans="1:13" hidden="1" x14ac:dyDescent="0.3">
      <c r="A12" s="58"/>
      <c r="B12" s="59"/>
      <c r="C12" s="60"/>
      <c r="D12" s="61"/>
      <c r="E12" s="62"/>
      <c r="F12" s="59"/>
      <c r="G12" s="63">
        <f>SUM(G9:G11)</f>
        <v>0</v>
      </c>
      <c r="H12" s="63">
        <f t="shared" ref="H12:M12" si="5">SUM(H9:H11)</f>
        <v>315.8</v>
      </c>
      <c r="I12" s="63">
        <f t="shared" si="5"/>
        <v>0</v>
      </c>
      <c r="J12" s="63">
        <f t="shared" si="5"/>
        <v>0</v>
      </c>
      <c r="K12" s="63">
        <f t="shared" si="5"/>
        <v>129</v>
      </c>
      <c r="L12" s="63">
        <f t="shared" si="5"/>
        <v>0</v>
      </c>
      <c r="M12" s="63">
        <f t="shared" si="5"/>
        <v>444.8</v>
      </c>
    </row>
    <row r="13" spans="1:13" hidden="1" x14ac:dyDescent="0.3">
      <c r="A13" s="54" t="s">
        <v>38</v>
      </c>
      <c r="B13" s="54" t="s">
        <v>34</v>
      </c>
      <c r="C13" s="36">
        <v>45103</v>
      </c>
      <c r="D13" s="35"/>
      <c r="E13" s="36">
        <v>45070</v>
      </c>
      <c r="F13" s="37" t="s">
        <v>35</v>
      </c>
      <c r="G13" s="38"/>
      <c r="H13" s="38">
        <v>92.6</v>
      </c>
      <c r="I13" s="38">
        <v>8.5</v>
      </c>
      <c r="J13" s="38"/>
      <c r="K13" s="57">
        <v>6.8</v>
      </c>
      <c r="L13" s="57"/>
      <c r="M13" s="57">
        <f t="shared" ref="M13:M15" si="6">SUM(G13:L13)</f>
        <v>107.89999999999999</v>
      </c>
    </row>
    <row r="14" spans="1:13" hidden="1" x14ac:dyDescent="0.3">
      <c r="A14" s="54" t="s">
        <v>38</v>
      </c>
      <c r="B14" s="54" t="s">
        <v>34</v>
      </c>
      <c r="C14" s="36">
        <v>45107</v>
      </c>
      <c r="D14" s="35" t="s">
        <v>84</v>
      </c>
      <c r="E14" s="36">
        <v>45106</v>
      </c>
      <c r="F14" s="37" t="s">
        <v>35</v>
      </c>
      <c r="G14" s="38"/>
      <c r="H14" s="38">
        <v>46.3</v>
      </c>
      <c r="I14" s="38">
        <v>8.5</v>
      </c>
      <c r="J14" s="38"/>
      <c r="K14" s="57"/>
      <c r="L14" s="57"/>
      <c r="M14" s="57">
        <f t="shared" si="6"/>
        <v>54.8</v>
      </c>
    </row>
    <row r="15" spans="1:13" hidden="1" x14ac:dyDescent="0.3">
      <c r="A15" s="54" t="s">
        <v>38</v>
      </c>
      <c r="B15" s="54" t="s">
        <v>34</v>
      </c>
      <c r="C15" s="36"/>
      <c r="D15" s="35"/>
      <c r="E15" s="36"/>
      <c r="F15" s="37"/>
      <c r="G15" s="38"/>
      <c r="H15" s="38"/>
      <c r="I15" s="38"/>
      <c r="J15" s="38"/>
      <c r="K15" s="57"/>
      <c r="L15" s="57"/>
      <c r="M15" s="57">
        <f t="shared" si="6"/>
        <v>0</v>
      </c>
    </row>
    <row r="16" spans="1:13" ht="15.75" hidden="1" customHeight="1" x14ac:dyDescent="0.3">
      <c r="A16" s="58"/>
      <c r="B16" s="59"/>
      <c r="C16" s="60"/>
      <c r="D16" s="61"/>
      <c r="E16" s="62"/>
      <c r="F16" s="59"/>
      <c r="G16" s="63">
        <f>SUM(G13:G15)</f>
        <v>0</v>
      </c>
      <c r="H16" s="63">
        <f>SUM(H13:H15)</f>
        <v>138.89999999999998</v>
      </c>
      <c r="I16" s="63">
        <f t="shared" ref="I16:M16" si="7">SUM(I13:I15)</f>
        <v>17</v>
      </c>
      <c r="J16" s="63">
        <f t="shared" si="7"/>
        <v>0</v>
      </c>
      <c r="K16" s="63">
        <f t="shared" si="7"/>
        <v>6.8</v>
      </c>
      <c r="L16" s="63">
        <f t="shared" si="7"/>
        <v>0</v>
      </c>
      <c r="M16" s="63">
        <f t="shared" si="7"/>
        <v>162.69999999999999</v>
      </c>
    </row>
    <row r="17" spans="1:13" hidden="1" x14ac:dyDescent="0.3">
      <c r="A17" s="54" t="s">
        <v>43</v>
      </c>
      <c r="B17" s="54" t="s">
        <v>34</v>
      </c>
      <c r="C17" s="36"/>
      <c r="D17" s="35"/>
      <c r="E17" s="36"/>
      <c r="F17" s="37"/>
      <c r="G17" s="38"/>
      <c r="H17" s="38"/>
      <c r="I17" s="38"/>
      <c r="J17" s="38"/>
      <c r="K17" s="38"/>
      <c r="L17" s="38">
        <v>0</v>
      </c>
      <c r="M17" s="57">
        <f t="shared" ref="M17" si="8">SUM(G17:L17)</f>
        <v>0</v>
      </c>
    </row>
    <row r="18" spans="1:13" hidden="1" x14ac:dyDescent="0.3">
      <c r="A18" s="58"/>
      <c r="B18" s="59"/>
      <c r="C18" s="60"/>
      <c r="D18" s="61"/>
      <c r="E18" s="62"/>
      <c r="F18" s="59"/>
      <c r="G18" s="63">
        <f t="shared" ref="G18:M18" si="9">SUM(G17:G17)</f>
        <v>0</v>
      </c>
      <c r="H18" s="63">
        <f t="shared" si="9"/>
        <v>0</v>
      </c>
      <c r="I18" s="63">
        <f t="shared" si="9"/>
        <v>0</v>
      </c>
      <c r="J18" s="63">
        <f t="shared" si="9"/>
        <v>0</v>
      </c>
      <c r="K18" s="63">
        <f t="shared" si="9"/>
        <v>0</v>
      </c>
      <c r="L18" s="63">
        <f t="shared" si="9"/>
        <v>0</v>
      </c>
      <c r="M18" s="63">
        <f t="shared" si="9"/>
        <v>0</v>
      </c>
    </row>
    <row r="19" spans="1:13" hidden="1" x14ac:dyDescent="0.3">
      <c r="A19" s="54" t="s">
        <v>36</v>
      </c>
      <c r="B19" s="54" t="s">
        <v>34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57">
        <f>SUM(G19:L19)</f>
        <v>0</v>
      </c>
    </row>
    <row r="20" spans="1:13" hidden="1" x14ac:dyDescent="0.3">
      <c r="A20" s="58"/>
      <c r="B20" s="59"/>
      <c r="C20" s="60"/>
      <c r="D20" s="61"/>
      <c r="E20" s="62"/>
      <c r="F20" s="59"/>
      <c r="G20" s="63">
        <f t="shared" ref="G20:L20" si="10">SUM(G19)</f>
        <v>0</v>
      </c>
      <c r="H20" s="63">
        <f t="shared" si="10"/>
        <v>0</v>
      </c>
      <c r="I20" s="63">
        <f t="shared" si="10"/>
        <v>0</v>
      </c>
      <c r="J20" s="63">
        <f t="shared" si="10"/>
        <v>0</v>
      </c>
      <c r="K20" s="63">
        <f t="shared" si="10"/>
        <v>0</v>
      </c>
      <c r="L20" s="63">
        <f t="shared" si="10"/>
        <v>0</v>
      </c>
      <c r="M20" s="63">
        <f>SUM(M19)</f>
        <v>0</v>
      </c>
    </row>
    <row r="21" spans="1:13" hidden="1" x14ac:dyDescent="0.3">
      <c r="A21" s="54" t="s">
        <v>64</v>
      </c>
      <c r="B21" s="54" t="s">
        <v>34</v>
      </c>
      <c r="C21" s="55">
        <v>45082</v>
      </c>
      <c r="D21" s="54" t="s">
        <v>94</v>
      </c>
      <c r="E21" s="55">
        <v>45071</v>
      </c>
      <c r="F21" s="56" t="s">
        <v>95</v>
      </c>
      <c r="G21" s="57"/>
      <c r="H21" s="57"/>
      <c r="I21" s="57">
        <f>52.2+5.5</f>
        <v>57.7</v>
      </c>
      <c r="J21" s="57"/>
      <c r="K21" s="57"/>
      <c r="L21" s="57"/>
      <c r="M21" s="57">
        <f t="shared" ref="M21" si="11">SUM(G21:L21)</f>
        <v>57.7</v>
      </c>
    </row>
    <row r="22" spans="1:13" hidden="1" x14ac:dyDescent="0.3">
      <c r="A22" s="54" t="s">
        <v>64</v>
      </c>
      <c r="B22" s="54" t="s">
        <v>34</v>
      </c>
      <c r="C22" s="55"/>
      <c r="D22" s="54"/>
      <c r="E22" s="55"/>
      <c r="F22" s="56"/>
      <c r="G22" s="57"/>
      <c r="H22" s="57"/>
      <c r="I22" s="57"/>
      <c r="J22" s="57"/>
      <c r="K22" s="57"/>
      <c r="L22" s="57"/>
      <c r="M22" s="57"/>
    </row>
    <row r="23" spans="1:13" hidden="1" x14ac:dyDescent="0.3">
      <c r="A23" s="58"/>
      <c r="B23" s="59"/>
      <c r="C23" s="60"/>
      <c r="D23" s="61"/>
      <c r="E23" s="62"/>
      <c r="F23" s="59"/>
      <c r="G23" s="63">
        <f>SUM(G21:G22)</f>
        <v>0</v>
      </c>
      <c r="H23" s="63">
        <f t="shared" ref="H23:M23" si="12">SUM(H21:H22)</f>
        <v>0</v>
      </c>
      <c r="I23" s="63">
        <f t="shared" si="12"/>
        <v>57.7</v>
      </c>
      <c r="J23" s="63">
        <f t="shared" si="12"/>
        <v>0</v>
      </c>
      <c r="K23" s="63">
        <f t="shared" si="12"/>
        <v>0</v>
      </c>
      <c r="L23" s="63">
        <f t="shared" si="12"/>
        <v>0</v>
      </c>
      <c r="M23" s="63">
        <f t="shared" si="12"/>
        <v>57.7</v>
      </c>
    </row>
    <row r="24" spans="1:13" hidden="1" x14ac:dyDescent="0.3">
      <c r="A24" s="54" t="s">
        <v>50</v>
      </c>
      <c r="B24" s="54" t="s">
        <v>81</v>
      </c>
      <c r="C24" s="55">
        <v>45041</v>
      </c>
      <c r="D24" s="54" t="s">
        <v>82</v>
      </c>
      <c r="E24" s="55">
        <v>45015</v>
      </c>
      <c r="F24" s="56" t="s">
        <v>35</v>
      </c>
      <c r="G24" s="57"/>
      <c r="H24" s="57">
        <v>-36.700000000000003</v>
      </c>
      <c r="I24" s="57"/>
      <c r="J24" s="57"/>
      <c r="K24" s="57"/>
      <c r="L24" s="57"/>
      <c r="M24" s="57">
        <f t="shared" ref="M24:M32" si="13">SUM(G24:L24)</f>
        <v>-36.700000000000003</v>
      </c>
    </row>
    <row r="25" spans="1:13" hidden="1" x14ac:dyDescent="0.3">
      <c r="A25" s="54" t="s">
        <v>50</v>
      </c>
      <c r="B25" s="54" t="s">
        <v>81</v>
      </c>
      <c r="C25" s="55">
        <v>45044</v>
      </c>
      <c r="D25" s="54" t="s">
        <v>75</v>
      </c>
      <c r="E25" s="55">
        <v>45042</v>
      </c>
      <c r="F25" s="56"/>
      <c r="G25" s="57"/>
      <c r="H25" s="57">
        <f>54.8+13.6</f>
        <v>68.399999999999991</v>
      </c>
      <c r="I25" s="57"/>
      <c r="J25" s="57"/>
      <c r="K25" s="57"/>
      <c r="L25" s="57"/>
      <c r="M25" s="57">
        <f t="shared" si="13"/>
        <v>68.399999999999991</v>
      </c>
    </row>
    <row r="26" spans="1:13" hidden="1" x14ac:dyDescent="0.3">
      <c r="A26" s="54" t="s">
        <v>50</v>
      </c>
      <c r="B26" s="54" t="s">
        <v>81</v>
      </c>
      <c r="C26" s="55">
        <v>45050</v>
      </c>
      <c r="D26" s="54" t="s">
        <v>76</v>
      </c>
      <c r="E26" s="55">
        <v>45063</v>
      </c>
      <c r="F26" s="56" t="s">
        <v>37</v>
      </c>
      <c r="G26" s="57">
        <v>115.74</v>
      </c>
      <c r="H26" s="57"/>
      <c r="I26" s="57"/>
      <c r="J26" s="57">
        <v>5.14</v>
      </c>
      <c r="K26" s="57">
        <f>135.8+29.5</f>
        <v>165.3</v>
      </c>
      <c r="L26" s="57"/>
      <c r="M26" s="57">
        <f t="shared" si="13"/>
        <v>286.18</v>
      </c>
    </row>
    <row r="27" spans="1:13" hidden="1" x14ac:dyDescent="0.3">
      <c r="A27" s="54" t="s">
        <v>50</v>
      </c>
      <c r="B27" s="54" t="s">
        <v>81</v>
      </c>
      <c r="C27" s="55">
        <v>45072</v>
      </c>
      <c r="D27" s="54" t="s">
        <v>83</v>
      </c>
      <c r="E27" s="55">
        <v>46181</v>
      </c>
      <c r="F27" s="56" t="s">
        <v>35</v>
      </c>
      <c r="G27" s="57"/>
      <c r="H27" s="57">
        <v>54.8</v>
      </c>
      <c r="I27" s="57"/>
      <c r="J27" s="57"/>
      <c r="K27" s="57"/>
      <c r="L27" s="57"/>
      <c r="M27" s="57">
        <f t="shared" si="13"/>
        <v>54.8</v>
      </c>
    </row>
    <row r="28" spans="1:13" hidden="1" x14ac:dyDescent="0.3">
      <c r="A28" s="54" t="s">
        <v>50</v>
      </c>
      <c r="B28" s="54" t="s">
        <v>81</v>
      </c>
      <c r="C28" s="55">
        <v>45072</v>
      </c>
      <c r="D28" s="54" t="s">
        <v>75</v>
      </c>
      <c r="E28" s="55">
        <v>46188</v>
      </c>
      <c r="F28" s="56" t="s">
        <v>35</v>
      </c>
      <c r="G28" s="57"/>
      <c r="H28" s="57">
        <v>54.8</v>
      </c>
      <c r="I28" s="57"/>
      <c r="J28" s="57"/>
      <c r="K28" s="57"/>
      <c r="L28" s="57"/>
      <c r="M28" s="57">
        <f t="shared" si="13"/>
        <v>54.8</v>
      </c>
    </row>
    <row r="29" spans="1:13" hidden="1" x14ac:dyDescent="0.3">
      <c r="A29" s="54" t="s">
        <v>50</v>
      </c>
      <c r="B29" s="54" t="s">
        <v>81</v>
      </c>
      <c r="C29" s="55">
        <v>45072</v>
      </c>
      <c r="D29" s="54" t="s">
        <v>84</v>
      </c>
      <c r="E29" s="55">
        <v>45106</v>
      </c>
      <c r="F29" s="56" t="s">
        <v>35</v>
      </c>
      <c r="G29" s="57"/>
      <c r="H29" s="57">
        <v>54.8</v>
      </c>
      <c r="I29" s="57"/>
      <c r="J29" s="57"/>
      <c r="K29" s="57"/>
      <c r="L29" s="57"/>
      <c r="M29" s="57">
        <f t="shared" si="13"/>
        <v>54.8</v>
      </c>
    </row>
    <row r="30" spans="1:13" hidden="1" x14ac:dyDescent="0.3">
      <c r="A30" s="54" t="s">
        <v>50</v>
      </c>
      <c r="B30" s="54" t="s">
        <v>81</v>
      </c>
      <c r="C30" s="55">
        <v>45072</v>
      </c>
      <c r="D30" s="54" t="s">
        <v>87</v>
      </c>
      <c r="E30" s="55">
        <v>45131</v>
      </c>
      <c r="F30" s="56" t="s">
        <v>35</v>
      </c>
      <c r="G30" s="57"/>
      <c r="H30" s="57">
        <v>54.8</v>
      </c>
      <c r="I30" s="57"/>
      <c r="J30" s="57"/>
      <c r="K30" s="57"/>
      <c r="L30" s="57"/>
      <c r="M30" s="57">
        <f t="shared" si="13"/>
        <v>54.8</v>
      </c>
    </row>
    <row r="31" spans="1:13" hidden="1" x14ac:dyDescent="0.3">
      <c r="A31" s="54" t="s">
        <v>50</v>
      </c>
      <c r="B31" s="54" t="s">
        <v>81</v>
      </c>
      <c r="C31" s="55">
        <v>45072</v>
      </c>
      <c r="D31" s="54" t="s">
        <v>85</v>
      </c>
      <c r="E31" s="55">
        <v>45134</v>
      </c>
      <c r="F31" s="56" t="s">
        <v>35</v>
      </c>
      <c r="G31" s="57"/>
      <c r="H31" s="57">
        <f>27.4+15.2</f>
        <v>42.599999999999994</v>
      </c>
      <c r="I31" s="57"/>
      <c r="J31" s="57"/>
      <c r="K31" s="57"/>
      <c r="L31" s="57"/>
      <c r="M31" s="57">
        <f t="shared" si="13"/>
        <v>42.599999999999994</v>
      </c>
    </row>
    <row r="32" spans="1:13" hidden="1" x14ac:dyDescent="0.3">
      <c r="A32" s="54" t="s">
        <v>50</v>
      </c>
      <c r="B32" s="54" t="s">
        <v>81</v>
      </c>
      <c r="C32" s="55"/>
      <c r="D32" s="54"/>
      <c r="E32" s="55"/>
      <c r="F32" s="56"/>
      <c r="G32" s="57"/>
      <c r="H32" s="57"/>
      <c r="I32" s="57"/>
      <c r="J32" s="57"/>
      <c r="K32" s="57"/>
      <c r="L32" s="57"/>
      <c r="M32" s="57">
        <f t="shared" si="13"/>
        <v>0</v>
      </c>
    </row>
    <row r="33" spans="1:13" hidden="1" x14ac:dyDescent="0.3">
      <c r="A33" s="58"/>
      <c r="B33" s="59"/>
      <c r="C33" s="60"/>
      <c r="D33" s="61"/>
      <c r="E33" s="62"/>
      <c r="F33" s="59"/>
      <c r="G33" s="63">
        <f t="shared" ref="G33:M33" si="14">SUM(G24:G32)</f>
        <v>115.74</v>
      </c>
      <c r="H33" s="63">
        <f t="shared" si="14"/>
        <v>293.5</v>
      </c>
      <c r="I33" s="63">
        <f t="shared" si="14"/>
        <v>0</v>
      </c>
      <c r="J33" s="63">
        <f t="shared" si="14"/>
        <v>5.14</v>
      </c>
      <c r="K33" s="63">
        <f t="shared" si="14"/>
        <v>165.3</v>
      </c>
      <c r="L33" s="63">
        <f t="shared" si="14"/>
        <v>0</v>
      </c>
      <c r="M33" s="63">
        <f t="shared" si="14"/>
        <v>579.68000000000006</v>
      </c>
    </row>
    <row r="34" spans="1:13" hidden="1" x14ac:dyDescent="0.3">
      <c r="A34" s="54" t="s">
        <v>44</v>
      </c>
      <c r="B34" s="54" t="s">
        <v>48</v>
      </c>
      <c r="C34" s="55">
        <v>45020</v>
      </c>
      <c r="D34" s="54" t="s">
        <v>87</v>
      </c>
      <c r="E34" s="55">
        <v>45021</v>
      </c>
      <c r="F34" s="56" t="s">
        <v>35</v>
      </c>
      <c r="G34" s="57"/>
      <c r="H34" s="57">
        <v>90.7</v>
      </c>
      <c r="I34" s="57"/>
      <c r="J34" s="57"/>
      <c r="K34" s="57"/>
      <c r="L34" s="57"/>
      <c r="M34" s="57">
        <f t="shared" ref="M34:M40" si="15">SUM(G34:L34)</f>
        <v>90.7</v>
      </c>
    </row>
    <row r="35" spans="1:13" hidden="1" x14ac:dyDescent="0.3">
      <c r="A35" s="54" t="s">
        <v>44</v>
      </c>
      <c r="B35" s="54" t="s">
        <v>48</v>
      </c>
      <c r="C35" s="55">
        <v>45033</v>
      </c>
      <c r="D35" s="54" t="s">
        <v>75</v>
      </c>
      <c r="E35" s="55">
        <v>45042</v>
      </c>
      <c r="F35" s="56" t="s">
        <v>35</v>
      </c>
      <c r="G35" s="57"/>
      <c r="H35" s="57">
        <v>90.7</v>
      </c>
      <c r="I35" s="57"/>
      <c r="J35" s="57"/>
      <c r="K35" s="57"/>
      <c r="L35" s="57"/>
      <c r="M35" s="57">
        <f t="shared" si="15"/>
        <v>90.7</v>
      </c>
    </row>
    <row r="36" spans="1:13" hidden="1" x14ac:dyDescent="0.3">
      <c r="A36" s="54" t="s">
        <v>44</v>
      </c>
      <c r="B36" s="54" t="s">
        <v>48</v>
      </c>
      <c r="C36" s="55">
        <v>45033</v>
      </c>
      <c r="D36" s="54" t="s">
        <v>86</v>
      </c>
      <c r="E36" s="55">
        <v>45043</v>
      </c>
      <c r="F36" s="56" t="s">
        <v>35</v>
      </c>
      <c r="G36" s="57"/>
      <c r="H36" s="57">
        <v>90.7</v>
      </c>
      <c r="I36" s="57"/>
      <c r="J36" s="57"/>
      <c r="K36" s="57"/>
      <c r="L36" s="57"/>
      <c r="M36" s="57">
        <f t="shared" si="15"/>
        <v>90.7</v>
      </c>
    </row>
    <row r="37" spans="1:13" hidden="1" x14ac:dyDescent="0.3">
      <c r="A37" s="54" t="s">
        <v>44</v>
      </c>
      <c r="B37" s="54" t="s">
        <v>48</v>
      </c>
      <c r="C37" s="55">
        <v>45051</v>
      </c>
      <c r="D37" s="54" t="s">
        <v>76</v>
      </c>
      <c r="E37" s="55">
        <v>45063</v>
      </c>
      <c r="F37" s="56" t="s">
        <v>37</v>
      </c>
      <c r="G37" s="57">
        <v>282.91000000000003</v>
      </c>
      <c r="H37" s="57">
        <f>104+3.6</f>
        <v>107.6</v>
      </c>
      <c r="I37" s="57"/>
      <c r="J37" s="57">
        <v>29.8</v>
      </c>
      <c r="K37" s="57">
        <f>162.15+33.21</f>
        <v>195.36</v>
      </c>
      <c r="L37" s="57"/>
      <c r="M37" s="57">
        <f t="shared" si="15"/>
        <v>615.67000000000007</v>
      </c>
    </row>
    <row r="38" spans="1:13" hidden="1" x14ac:dyDescent="0.3">
      <c r="A38" s="54" t="s">
        <v>44</v>
      </c>
      <c r="B38" s="54" t="s">
        <v>48</v>
      </c>
      <c r="C38" s="55">
        <v>45082</v>
      </c>
      <c r="D38" s="46" t="s">
        <v>96</v>
      </c>
      <c r="E38" s="36">
        <v>45085</v>
      </c>
      <c r="F38" s="37" t="s">
        <v>35</v>
      </c>
      <c r="G38" s="57"/>
      <c r="H38" s="57">
        <v>91.6</v>
      </c>
      <c r="I38" s="57"/>
      <c r="J38" s="57"/>
      <c r="K38" s="57"/>
      <c r="L38" s="57"/>
      <c r="M38" s="57">
        <f t="shared" si="15"/>
        <v>91.6</v>
      </c>
    </row>
    <row r="39" spans="1:13" hidden="1" x14ac:dyDescent="0.3">
      <c r="A39" s="54" t="s">
        <v>44</v>
      </c>
      <c r="B39" s="54" t="s">
        <v>48</v>
      </c>
      <c r="C39" s="55">
        <v>45103</v>
      </c>
      <c r="D39" s="46" t="s">
        <v>84</v>
      </c>
      <c r="E39" s="36">
        <v>45106</v>
      </c>
      <c r="F39" s="37" t="s">
        <v>35</v>
      </c>
      <c r="G39" s="57"/>
      <c r="H39" s="57">
        <v>90.7</v>
      </c>
      <c r="I39" s="57"/>
      <c r="J39" s="57"/>
      <c r="K39" s="57"/>
      <c r="L39" s="57"/>
      <c r="M39" s="57">
        <f t="shared" si="15"/>
        <v>90.7</v>
      </c>
    </row>
    <row r="40" spans="1:13" hidden="1" x14ac:dyDescent="0.3">
      <c r="A40" s="54" t="s">
        <v>44</v>
      </c>
      <c r="B40" s="54" t="s">
        <v>48</v>
      </c>
      <c r="C40" s="55"/>
      <c r="D40" s="54"/>
      <c r="E40" s="55"/>
      <c r="F40" s="56"/>
      <c r="G40" s="57"/>
      <c r="H40" s="57"/>
      <c r="I40" s="57"/>
      <c r="J40" s="57"/>
      <c r="K40" s="57"/>
      <c r="L40" s="57"/>
      <c r="M40" s="57">
        <f t="shared" si="15"/>
        <v>0</v>
      </c>
    </row>
    <row r="41" spans="1:13" hidden="1" x14ac:dyDescent="0.3">
      <c r="A41" s="58"/>
      <c r="B41" s="59"/>
      <c r="C41" s="60"/>
      <c r="D41" s="61"/>
      <c r="E41" s="62"/>
      <c r="F41" s="59"/>
      <c r="G41" s="63">
        <f t="shared" ref="G41:M41" si="16">SUM(G34:G40)</f>
        <v>282.91000000000003</v>
      </c>
      <c r="H41" s="63">
        <f t="shared" si="16"/>
        <v>562.00000000000011</v>
      </c>
      <c r="I41" s="63">
        <f t="shared" si="16"/>
        <v>0</v>
      </c>
      <c r="J41" s="63">
        <f t="shared" si="16"/>
        <v>29.8</v>
      </c>
      <c r="K41" s="63">
        <f t="shared" si="16"/>
        <v>195.36</v>
      </c>
      <c r="L41" s="63">
        <f t="shared" si="16"/>
        <v>0</v>
      </c>
      <c r="M41" s="63">
        <f t="shared" si="16"/>
        <v>1070.0700000000002</v>
      </c>
    </row>
    <row r="42" spans="1:13" hidden="1" x14ac:dyDescent="0.3">
      <c r="A42" s="54" t="s">
        <v>32</v>
      </c>
      <c r="B42" s="54" t="s">
        <v>33</v>
      </c>
      <c r="C42" s="36">
        <v>45033</v>
      </c>
      <c r="D42" s="46" t="s">
        <v>88</v>
      </c>
      <c r="E42" s="36">
        <v>45001</v>
      </c>
      <c r="F42" s="37" t="s">
        <v>35</v>
      </c>
      <c r="G42" s="38"/>
      <c r="H42" s="38">
        <v>-107</v>
      </c>
      <c r="I42" s="38"/>
      <c r="J42" s="38"/>
      <c r="K42" s="38"/>
      <c r="L42" s="38"/>
      <c r="M42" s="57">
        <f>SUM(G42:L42)</f>
        <v>-107</v>
      </c>
    </row>
    <row r="43" spans="1:13" hidden="1" x14ac:dyDescent="0.3">
      <c r="A43" s="54" t="s">
        <v>32</v>
      </c>
      <c r="B43" s="54" t="s">
        <v>33</v>
      </c>
      <c r="C43" s="36">
        <v>45045</v>
      </c>
      <c r="D43" s="46" t="s">
        <v>82</v>
      </c>
      <c r="E43" s="36">
        <v>44985</v>
      </c>
      <c r="F43" s="37" t="s">
        <v>35</v>
      </c>
      <c r="G43" s="38"/>
      <c r="H43" s="38">
        <v>-132.4</v>
      </c>
      <c r="I43" s="38"/>
      <c r="J43" s="38"/>
      <c r="K43" s="38"/>
      <c r="L43" s="38"/>
      <c r="M43" s="57">
        <f t="shared" ref="M43:M51" si="17">SUM(G43:L43)</f>
        <v>-132.4</v>
      </c>
    </row>
    <row r="44" spans="1:13" hidden="1" x14ac:dyDescent="0.3">
      <c r="A44" s="54" t="s">
        <v>32</v>
      </c>
      <c r="B44" s="54" t="s">
        <v>33</v>
      </c>
      <c r="C44" s="36">
        <v>45040</v>
      </c>
      <c r="D44" s="46" t="s">
        <v>89</v>
      </c>
      <c r="E44" s="36">
        <v>45040</v>
      </c>
      <c r="F44" s="37" t="s">
        <v>35</v>
      </c>
      <c r="G44" s="38"/>
      <c r="H44" s="38">
        <v>400.2</v>
      </c>
      <c r="I44" s="38"/>
      <c r="J44" s="38"/>
      <c r="K44" s="38">
        <f>140+41</f>
        <v>181</v>
      </c>
      <c r="L44" s="38"/>
      <c r="M44" s="57">
        <f t="shared" si="17"/>
        <v>581.20000000000005</v>
      </c>
    </row>
    <row r="45" spans="1:13" hidden="1" x14ac:dyDescent="0.3">
      <c r="A45" s="54" t="s">
        <v>32</v>
      </c>
      <c r="B45" s="54" t="s">
        <v>33</v>
      </c>
      <c r="C45" s="36">
        <v>45050</v>
      </c>
      <c r="D45" s="46" t="s">
        <v>76</v>
      </c>
      <c r="E45" s="36">
        <v>45063</v>
      </c>
      <c r="F45" s="37" t="s">
        <v>37</v>
      </c>
      <c r="G45" s="38">
        <v>112.24</v>
      </c>
      <c r="H45" s="38"/>
      <c r="I45" s="38">
        <v>12</v>
      </c>
      <c r="J45" s="38"/>
      <c r="K45" s="38">
        <f>135.8+29.5</f>
        <v>165.3</v>
      </c>
      <c r="L45" s="38"/>
      <c r="M45" s="57">
        <f t="shared" si="17"/>
        <v>289.54000000000002</v>
      </c>
    </row>
    <row r="46" spans="1:13" hidden="1" x14ac:dyDescent="0.3">
      <c r="A46" s="54" t="s">
        <v>32</v>
      </c>
      <c r="B46" s="54" t="s">
        <v>33</v>
      </c>
      <c r="C46" s="36">
        <v>45078</v>
      </c>
      <c r="D46" s="46" t="s">
        <v>97</v>
      </c>
      <c r="E46" s="36">
        <v>45084</v>
      </c>
      <c r="F46" s="37" t="s">
        <v>35</v>
      </c>
      <c r="G46" s="38"/>
      <c r="H46" s="38">
        <v>275.3</v>
      </c>
      <c r="I46" s="38"/>
      <c r="J46" s="38"/>
      <c r="K46" s="38">
        <f>88.75+20.5</f>
        <v>109.25</v>
      </c>
      <c r="L46" s="38"/>
      <c r="M46" s="57">
        <f t="shared" si="17"/>
        <v>384.55</v>
      </c>
    </row>
    <row r="47" spans="1:13" hidden="1" x14ac:dyDescent="0.3">
      <c r="A47" s="54" t="s">
        <v>32</v>
      </c>
      <c r="B47" s="54" t="s">
        <v>33</v>
      </c>
      <c r="C47" s="36">
        <v>45078</v>
      </c>
      <c r="D47" s="46" t="s">
        <v>96</v>
      </c>
      <c r="E47" s="36">
        <v>45085</v>
      </c>
      <c r="F47" s="37" t="s">
        <v>35</v>
      </c>
      <c r="G47" s="38"/>
      <c r="H47" s="38"/>
      <c r="I47" s="38"/>
      <c r="J47" s="38"/>
      <c r="K47" s="38">
        <v>140</v>
      </c>
      <c r="L47" s="38"/>
      <c r="M47" s="57">
        <f t="shared" si="17"/>
        <v>140</v>
      </c>
    </row>
    <row r="48" spans="1:13" hidden="1" x14ac:dyDescent="0.3">
      <c r="A48" s="54" t="s">
        <v>32</v>
      </c>
      <c r="B48" s="54" t="s">
        <v>33</v>
      </c>
      <c r="C48" s="36">
        <v>45089</v>
      </c>
      <c r="D48" s="46" t="s">
        <v>75</v>
      </c>
      <c r="E48" s="36">
        <v>45092</v>
      </c>
      <c r="F48" s="37" t="s">
        <v>35</v>
      </c>
      <c r="G48" s="38"/>
      <c r="H48" s="38">
        <v>275.3</v>
      </c>
      <c r="I48" s="38"/>
      <c r="J48" s="38"/>
      <c r="K48" s="38">
        <v>131.19999999999999</v>
      </c>
      <c r="L48" s="38"/>
      <c r="M48" s="57">
        <f t="shared" si="17"/>
        <v>406.5</v>
      </c>
    </row>
    <row r="49" spans="1:17" hidden="1" x14ac:dyDescent="0.3">
      <c r="A49" s="54" t="s">
        <v>32</v>
      </c>
      <c r="B49" s="54" t="s">
        <v>33</v>
      </c>
      <c r="C49" s="36">
        <v>45098</v>
      </c>
      <c r="D49" s="46" t="s">
        <v>98</v>
      </c>
      <c r="E49" s="36">
        <v>45104</v>
      </c>
      <c r="F49" s="37" t="s">
        <v>35</v>
      </c>
      <c r="G49" s="38"/>
      <c r="H49" s="38">
        <v>273.8</v>
      </c>
      <c r="I49" s="38"/>
      <c r="J49" s="38"/>
      <c r="K49" s="38">
        <f>503.65/2</f>
        <v>251.82499999999999</v>
      </c>
      <c r="L49" s="38"/>
      <c r="M49" s="57">
        <f t="shared" si="17"/>
        <v>525.625</v>
      </c>
    </row>
    <row r="50" spans="1:17" hidden="1" x14ac:dyDescent="0.3">
      <c r="A50" s="54" t="s">
        <v>32</v>
      </c>
      <c r="B50" s="54" t="s">
        <v>33</v>
      </c>
      <c r="C50" s="36">
        <v>45098</v>
      </c>
      <c r="D50" s="46" t="s">
        <v>84</v>
      </c>
      <c r="E50" s="36">
        <v>45106</v>
      </c>
      <c r="F50" s="37" t="s">
        <v>35</v>
      </c>
      <c r="G50" s="38"/>
      <c r="H50" s="38">
        <v>275.3</v>
      </c>
      <c r="I50" s="38"/>
      <c r="J50" s="38"/>
      <c r="K50" s="38">
        <f>503.65/2</f>
        <v>251.82499999999999</v>
      </c>
      <c r="L50" s="38"/>
      <c r="M50" s="57">
        <f t="shared" si="17"/>
        <v>527.125</v>
      </c>
    </row>
    <row r="51" spans="1:17" hidden="1" x14ac:dyDescent="0.3">
      <c r="A51" s="54" t="s">
        <v>32</v>
      </c>
      <c r="B51" s="54" t="s">
        <v>33</v>
      </c>
      <c r="C51" s="36"/>
      <c r="D51" s="46"/>
      <c r="E51" s="36"/>
      <c r="F51" s="37"/>
      <c r="G51" s="38"/>
      <c r="H51" s="38"/>
      <c r="I51" s="38"/>
      <c r="J51" s="38"/>
      <c r="K51" s="38"/>
      <c r="L51" s="38"/>
      <c r="M51" s="57">
        <f t="shared" si="17"/>
        <v>0</v>
      </c>
    </row>
    <row r="52" spans="1:17" hidden="1" x14ac:dyDescent="0.3">
      <c r="A52" s="58"/>
      <c r="B52" s="59"/>
      <c r="C52" s="60"/>
      <c r="D52" s="61"/>
      <c r="E52" s="62"/>
      <c r="F52" s="59"/>
      <c r="G52" s="63">
        <f t="shared" ref="G52:M52" si="18">SUM(G42:G51)</f>
        <v>112.24</v>
      </c>
      <c r="H52" s="63">
        <f t="shared" si="18"/>
        <v>1260.5</v>
      </c>
      <c r="I52" s="63">
        <f t="shared" si="18"/>
        <v>12</v>
      </c>
      <c r="J52" s="63">
        <f t="shared" si="18"/>
        <v>0</v>
      </c>
      <c r="K52" s="63">
        <f t="shared" si="18"/>
        <v>1230.4000000000001</v>
      </c>
      <c r="L52" s="63">
        <f t="shared" si="18"/>
        <v>0</v>
      </c>
      <c r="M52" s="63">
        <f t="shared" si="18"/>
        <v>2615.1400000000003</v>
      </c>
      <c r="Q52" s="2"/>
    </row>
    <row r="53" spans="1:17" x14ac:dyDescent="0.3">
      <c r="A53" s="54" t="s">
        <v>31</v>
      </c>
      <c r="B53" s="54" t="s">
        <v>47</v>
      </c>
      <c r="C53" s="36">
        <v>45019</v>
      </c>
      <c r="D53" s="46" t="s">
        <v>99</v>
      </c>
      <c r="E53" s="36">
        <v>45019</v>
      </c>
      <c r="F53" s="37" t="s">
        <v>35</v>
      </c>
      <c r="G53" s="94"/>
      <c r="H53" s="94"/>
      <c r="I53" s="94"/>
      <c r="J53" s="94"/>
      <c r="K53" s="94">
        <f>158.7+132</f>
        <v>290.7</v>
      </c>
      <c r="L53" s="38"/>
      <c r="M53" s="57">
        <f>SUM(G53:L53)</f>
        <v>290.7</v>
      </c>
      <c r="Q53" s="2"/>
    </row>
    <row r="54" spans="1:17" x14ac:dyDescent="0.3">
      <c r="A54" s="54" t="s">
        <v>31</v>
      </c>
      <c r="B54" s="54" t="s">
        <v>47</v>
      </c>
      <c r="C54" s="36">
        <v>45021</v>
      </c>
      <c r="D54" s="46" t="s">
        <v>90</v>
      </c>
      <c r="E54" s="36">
        <v>44987</v>
      </c>
      <c r="F54" s="37" t="s">
        <v>91</v>
      </c>
      <c r="G54" s="94"/>
      <c r="H54" s="94">
        <v>13</v>
      </c>
      <c r="I54" s="94">
        <v>9.81</v>
      </c>
      <c r="J54" s="94"/>
      <c r="K54" s="94">
        <f>20.49+6.8+18.43</f>
        <v>45.72</v>
      </c>
      <c r="L54" s="38"/>
      <c r="M54" s="57">
        <f t="shared" ref="M54:M64" si="19">SUM(G54:L54)</f>
        <v>68.53</v>
      </c>
      <c r="Q54" s="2"/>
    </row>
    <row r="55" spans="1:17" x14ac:dyDescent="0.3">
      <c r="A55" s="54" t="s">
        <v>31</v>
      </c>
      <c r="B55" s="54" t="s">
        <v>47</v>
      </c>
      <c r="C55" s="36">
        <v>45021</v>
      </c>
      <c r="D55" s="46" t="s">
        <v>39</v>
      </c>
      <c r="E55" s="36">
        <v>44993</v>
      </c>
      <c r="F55" s="37" t="s">
        <v>35</v>
      </c>
      <c r="G55" s="94"/>
      <c r="H55" s="94">
        <f>1.8+5.5+3.8</f>
        <v>11.1</v>
      </c>
      <c r="I55" s="94">
        <v>9.81</v>
      </c>
      <c r="J55" s="94"/>
      <c r="K55" s="94">
        <f>18.4+4.99+9.58</f>
        <v>32.97</v>
      </c>
      <c r="L55" s="38"/>
      <c r="M55" s="57">
        <f t="shared" si="19"/>
        <v>53.879999999999995</v>
      </c>
      <c r="Q55" s="2"/>
    </row>
    <row r="56" spans="1:17" x14ac:dyDescent="0.3">
      <c r="A56" s="54" t="s">
        <v>31</v>
      </c>
      <c r="B56" s="54" t="s">
        <v>47</v>
      </c>
      <c r="C56" s="36">
        <v>45021</v>
      </c>
      <c r="D56" s="46" t="s">
        <v>75</v>
      </c>
      <c r="E56" s="36">
        <v>45012</v>
      </c>
      <c r="F56" s="37" t="s">
        <v>35</v>
      </c>
      <c r="G56" s="94"/>
      <c r="H56" s="94">
        <v>1.9</v>
      </c>
      <c r="I56" s="94">
        <v>9.81</v>
      </c>
      <c r="J56" s="94"/>
      <c r="K56" s="94">
        <f>25.84+16.49</f>
        <v>42.33</v>
      </c>
      <c r="L56" s="38"/>
      <c r="M56" s="57">
        <f t="shared" si="19"/>
        <v>54.04</v>
      </c>
      <c r="Q56" s="2"/>
    </row>
    <row r="57" spans="1:17" x14ac:dyDescent="0.3">
      <c r="A57" s="54" t="s">
        <v>31</v>
      </c>
      <c r="B57" s="54" t="s">
        <v>47</v>
      </c>
      <c r="C57" s="36">
        <v>45021</v>
      </c>
      <c r="D57" s="46" t="s">
        <v>92</v>
      </c>
      <c r="E57" s="36">
        <v>45014</v>
      </c>
      <c r="F57" s="37" t="s">
        <v>35</v>
      </c>
      <c r="G57" s="94"/>
      <c r="H57" s="94">
        <v>8.1</v>
      </c>
      <c r="I57" s="94"/>
      <c r="J57" s="94"/>
      <c r="K57" s="94">
        <v>3.68</v>
      </c>
      <c r="L57" s="38"/>
      <c r="M57" s="57">
        <f t="shared" si="19"/>
        <v>11.78</v>
      </c>
      <c r="Q57" s="2"/>
    </row>
    <row r="58" spans="1:17" x14ac:dyDescent="0.3">
      <c r="A58" s="54" t="s">
        <v>31</v>
      </c>
      <c r="B58" s="54" t="s">
        <v>47</v>
      </c>
      <c r="C58" s="36">
        <v>45028</v>
      </c>
      <c r="D58" s="46" t="s">
        <v>100</v>
      </c>
      <c r="E58" s="36">
        <v>45035</v>
      </c>
      <c r="F58" s="37" t="s">
        <v>35</v>
      </c>
      <c r="G58" s="94">
        <v>440.97</v>
      </c>
      <c r="H58" s="94"/>
      <c r="I58" s="94">
        <v>71.13</v>
      </c>
      <c r="J58" s="94"/>
      <c r="K58" s="94">
        <v>80.989999999999995</v>
      </c>
      <c r="L58" s="38"/>
      <c r="M58" s="57">
        <f t="shared" si="19"/>
        <v>593.09</v>
      </c>
      <c r="Q58" s="2"/>
    </row>
    <row r="59" spans="1:17" x14ac:dyDescent="0.3">
      <c r="A59" s="54" t="s">
        <v>31</v>
      </c>
      <c r="B59" s="54" t="s">
        <v>47</v>
      </c>
      <c r="C59" s="36">
        <v>45033</v>
      </c>
      <c r="D59" s="46" t="s">
        <v>75</v>
      </c>
      <c r="E59" s="36">
        <v>45042</v>
      </c>
      <c r="F59" s="37" t="s">
        <v>35</v>
      </c>
      <c r="G59" s="94">
        <v>529.91</v>
      </c>
      <c r="H59" s="94"/>
      <c r="I59" s="94">
        <v>57.13</v>
      </c>
      <c r="J59" s="94"/>
      <c r="K59" s="94">
        <v>206.2</v>
      </c>
      <c r="L59" s="38"/>
      <c r="M59" s="57">
        <f t="shared" si="19"/>
        <v>793.24</v>
      </c>
      <c r="Q59" s="2"/>
    </row>
    <row r="60" spans="1:17" x14ac:dyDescent="0.3">
      <c r="A60" s="54" t="s">
        <v>31</v>
      </c>
      <c r="B60" s="54" t="s">
        <v>47</v>
      </c>
      <c r="C60" s="36">
        <v>45037</v>
      </c>
      <c r="D60" s="46" t="s">
        <v>93</v>
      </c>
      <c r="E60" s="36"/>
      <c r="F60" s="37"/>
      <c r="G60" s="94"/>
      <c r="H60" s="94"/>
      <c r="I60" s="94"/>
      <c r="J60" s="94"/>
      <c r="K60" s="94"/>
      <c r="L60" s="38">
        <v>14.99</v>
      </c>
      <c r="M60" s="57">
        <f t="shared" si="19"/>
        <v>14.99</v>
      </c>
      <c r="Q60" s="2"/>
    </row>
    <row r="61" spans="1:17" x14ac:dyDescent="0.3">
      <c r="A61" s="54" t="s">
        <v>31</v>
      </c>
      <c r="B61" s="54" t="s">
        <v>47</v>
      </c>
      <c r="C61" s="36">
        <v>45048</v>
      </c>
      <c r="D61" s="46" t="s">
        <v>101</v>
      </c>
      <c r="E61" s="36">
        <v>45055</v>
      </c>
      <c r="F61" s="37" t="s">
        <v>35</v>
      </c>
      <c r="G61" s="94">
        <v>356.91</v>
      </c>
      <c r="H61" s="94"/>
      <c r="I61" s="94">
        <v>47.13</v>
      </c>
      <c r="J61" s="94"/>
      <c r="K61" s="94">
        <v>157.19999999999999</v>
      </c>
      <c r="L61" s="38"/>
      <c r="M61" s="57">
        <f t="shared" si="19"/>
        <v>561.24</v>
      </c>
      <c r="Q61" s="2"/>
    </row>
    <row r="62" spans="1:17" x14ac:dyDescent="0.3">
      <c r="A62" s="54" t="s">
        <v>31</v>
      </c>
      <c r="B62" s="54" t="s">
        <v>47</v>
      </c>
      <c r="C62" s="36">
        <v>45076</v>
      </c>
      <c r="D62" s="46" t="s">
        <v>83</v>
      </c>
      <c r="E62" s="36">
        <v>45085</v>
      </c>
      <c r="F62" s="37" t="s">
        <v>35</v>
      </c>
      <c r="G62" s="94">
        <v>568.5</v>
      </c>
      <c r="H62" s="94">
        <v>13.2</v>
      </c>
      <c r="I62" s="94">
        <v>71.13</v>
      </c>
      <c r="J62" s="94"/>
      <c r="K62" s="94">
        <v>196.8</v>
      </c>
      <c r="L62" s="38"/>
      <c r="M62" s="57">
        <f t="shared" si="19"/>
        <v>849.63000000000011</v>
      </c>
      <c r="Q62" s="2"/>
    </row>
    <row r="63" spans="1:17" x14ac:dyDescent="0.3">
      <c r="A63" s="54" t="s">
        <v>31</v>
      </c>
      <c r="B63" s="54" t="s">
        <v>47</v>
      </c>
      <c r="C63" s="36">
        <v>45077</v>
      </c>
      <c r="D63" s="46" t="s">
        <v>75</v>
      </c>
      <c r="E63" s="36">
        <v>45092</v>
      </c>
      <c r="F63" s="37" t="s">
        <v>35</v>
      </c>
      <c r="G63" s="94">
        <v>431.91</v>
      </c>
      <c r="H63" s="94"/>
      <c r="I63" s="94">
        <v>62.13</v>
      </c>
      <c r="J63" s="94"/>
      <c r="K63" s="94">
        <v>128.4</v>
      </c>
      <c r="L63" s="38"/>
      <c r="M63" s="57">
        <f t="shared" si="19"/>
        <v>622.44000000000005</v>
      </c>
      <c r="Q63" s="2"/>
    </row>
    <row r="64" spans="1:17" x14ac:dyDescent="0.3">
      <c r="A64" s="54" t="s">
        <v>31</v>
      </c>
      <c r="B64" s="54" t="s">
        <v>47</v>
      </c>
      <c r="C64" s="36">
        <v>45077</v>
      </c>
      <c r="D64" s="46" t="s">
        <v>84</v>
      </c>
      <c r="E64" s="36">
        <v>45106</v>
      </c>
      <c r="F64" s="37" t="s">
        <v>35</v>
      </c>
      <c r="G64" s="94">
        <v>377.91</v>
      </c>
      <c r="H64" s="94"/>
      <c r="I64" s="94">
        <v>67.13</v>
      </c>
      <c r="J64" s="94"/>
      <c r="K64" s="94">
        <v>179.7</v>
      </c>
      <c r="L64" s="38"/>
      <c r="M64" s="57">
        <f t="shared" si="19"/>
        <v>624.74</v>
      </c>
      <c r="Q64" s="2"/>
    </row>
    <row r="65" spans="1:18" x14ac:dyDescent="0.3">
      <c r="A65" s="54" t="s">
        <v>31</v>
      </c>
      <c r="B65" s="54" t="s">
        <v>47</v>
      </c>
      <c r="C65" s="36"/>
      <c r="D65" s="46"/>
      <c r="E65" s="36"/>
      <c r="F65" s="37"/>
      <c r="G65" s="38"/>
      <c r="H65" s="38"/>
      <c r="I65" s="38"/>
      <c r="J65" s="38"/>
      <c r="K65" s="38"/>
      <c r="L65" s="38"/>
      <c r="M65" s="57"/>
      <c r="Q65" s="2"/>
    </row>
    <row r="66" spans="1:18" x14ac:dyDescent="0.3">
      <c r="A66" s="58"/>
      <c r="B66" s="59"/>
      <c r="C66" s="60"/>
      <c r="D66" s="61"/>
      <c r="E66" s="62"/>
      <c r="F66" s="59"/>
      <c r="G66" s="63">
        <f t="shared" ref="G66:M66" si="20">SUM(G53:G64)</f>
        <v>2706.1099999999997</v>
      </c>
      <c r="H66" s="63">
        <f t="shared" si="20"/>
        <v>47.3</v>
      </c>
      <c r="I66" s="63">
        <f t="shared" si="20"/>
        <v>405.21</v>
      </c>
      <c r="J66" s="63">
        <f t="shared" si="20"/>
        <v>0</v>
      </c>
      <c r="K66" s="63">
        <f t="shared" si="20"/>
        <v>1364.69</v>
      </c>
      <c r="L66" s="63">
        <f t="shared" si="20"/>
        <v>14.99</v>
      </c>
      <c r="M66" s="63">
        <f t="shared" si="20"/>
        <v>4538.3</v>
      </c>
    </row>
    <row r="67" spans="1:18" hidden="1" x14ac:dyDescent="0.3">
      <c r="A67" s="54" t="s">
        <v>45</v>
      </c>
      <c r="B67" s="54" t="s">
        <v>46</v>
      </c>
      <c r="C67" s="55">
        <v>45051</v>
      </c>
      <c r="D67" s="54" t="s">
        <v>76</v>
      </c>
      <c r="E67" s="55">
        <v>45063</v>
      </c>
      <c r="F67" s="56" t="s">
        <v>37</v>
      </c>
      <c r="G67" s="57">
        <v>326.91000000000003</v>
      </c>
      <c r="H67" s="57"/>
      <c r="I67" s="57"/>
      <c r="J67" s="57"/>
      <c r="K67" s="57">
        <v>157.05000000000001</v>
      </c>
      <c r="L67" s="57"/>
      <c r="M67" s="57">
        <f>SUM(G67:L67)</f>
        <v>483.96000000000004</v>
      </c>
    </row>
    <row r="68" spans="1:18" hidden="1" x14ac:dyDescent="0.3">
      <c r="A68" s="54" t="s">
        <v>45</v>
      </c>
      <c r="B68" s="54" t="s">
        <v>46</v>
      </c>
      <c r="C68" s="55"/>
      <c r="D68" s="54"/>
      <c r="E68" s="55"/>
      <c r="F68" s="56"/>
      <c r="G68" s="57"/>
      <c r="H68" s="57"/>
      <c r="I68" s="57"/>
      <c r="J68" s="57"/>
      <c r="K68" s="57"/>
      <c r="L68" s="57"/>
      <c r="M68" s="57"/>
    </row>
    <row r="69" spans="1:18" hidden="1" x14ac:dyDescent="0.3">
      <c r="A69" s="58"/>
      <c r="B69" s="59"/>
      <c r="C69" s="60"/>
      <c r="D69" s="61"/>
      <c r="E69" s="62"/>
      <c r="F69" s="59"/>
      <c r="G69" s="63">
        <f t="shared" ref="G69:M69" si="21">SUM(G67:G67)</f>
        <v>326.91000000000003</v>
      </c>
      <c r="H69" s="63">
        <f t="shared" si="21"/>
        <v>0</v>
      </c>
      <c r="I69" s="63">
        <f t="shared" si="21"/>
        <v>0</v>
      </c>
      <c r="J69" s="63">
        <f t="shared" si="21"/>
        <v>0</v>
      </c>
      <c r="K69" s="63">
        <f t="shared" si="21"/>
        <v>157.05000000000001</v>
      </c>
      <c r="L69" s="63">
        <f t="shared" si="21"/>
        <v>0</v>
      </c>
      <c r="M69" s="63">
        <f t="shared" si="21"/>
        <v>483.96000000000004</v>
      </c>
      <c r="O69" s="10"/>
      <c r="R69" s="11"/>
    </row>
    <row r="70" spans="1:18" hidden="1" x14ac:dyDescent="0.3">
      <c r="A70" s="64" t="s">
        <v>17</v>
      </c>
      <c r="B70" s="65"/>
      <c r="C70" s="66"/>
      <c r="D70" s="67"/>
      <c r="E70" s="68"/>
      <c r="F70" s="65"/>
      <c r="G70" s="69">
        <f t="shared" ref="G70:M70" si="22">G69+G66+G52+G41+G23+G20+G18+G16+G12+G8+G6+G4+G33</f>
        <v>3543.9099999999989</v>
      </c>
      <c r="H70" s="69">
        <f t="shared" si="22"/>
        <v>2618.0000000000005</v>
      </c>
      <c r="I70" s="69">
        <f t="shared" si="22"/>
        <v>491.90999999999997</v>
      </c>
      <c r="J70" s="69">
        <f t="shared" si="22"/>
        <v>34.94</v>
      </c>
      <c r="K70" s="69">
        <f t="shared" si="22"/>
        <v>3248.6000000000008</v>
      </c>
      <c r="L70" s="69">
        <f t="shared" si="22"/>
        <v>14.99</v>
      </c>
      <c r="M70" s="69">
        <f t="shared" si="22"/>
        <v>9952.3500000000022</v>
      </c>
    </row>
    <row r="71" spans="1:18" ht="14.5" hidden="1" thickBot="1" x14ac:dyDescent="0.3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</row>
    <row r="72" spans="1:18" ht="14.5" hidden="1" thickBot="1" x14ac:dyDescent="0.35">
      <c r="A72" s="51"/>
      <c r="B72" s="51"/>
      <c r="C72" s="51"/>
      <c r="D72" s="51"/>
      <c r="E72" s="51"/>
      <c r="F72" s="13" t="s">
        <v>13</v>
      </c>
      <c r="G72" s="70"/>
      <c r="H72" s="70"/>
      <c r="I72" s="70"/>
      <c r="J72" s="70"/>
      <c r="K72" s="70"/>
      <c r="L72" s="70"/>
      <c r="M72" s="71"/>
    </row>
    <row r="73" spans="1:18" ht="52" hidden="1" x14ac:dyDescent="0.3">
      <c r="A73" s="51"/>
      <c r="B73" s="51"/>
      <c r="C73" s="51"/>
      <c r="D73" s="51"/>
      <c r="E73" s="51"/>
      <c r="F73" s="72"/>
      <c r="G73" s="73" t="s">
        <v>6</v>
      </c>
      <c r="H73" s="74" t="s">
        <v>8</v>
      </c>
      <c r="I73" s="74" t="s">
        <v>27</v>
      </c>
      <c r="J73" s="74" t="s">
        <v>28</v>
      </c>
      <c r="K73" s="74" t="s">
        <v>10</v>
      </c>
      <c r="L73" s="74" t="s">
        <v>11</v>
      </c>
      <c r="M73" s="75" t="s">
        <v>12</v>
      </c>
    </row>
    <row r="74" spans="1:18" hidden="1" x14ac:dyDescent="0.3">
      <c r="A74" s="51"/>
      <c r="B74" s="51"/>
      <c r="C74" s="51"/>
      <c r="D74" s="51"/>
      <c r="E74" s="51"/>
      <c r="F74" s="76" t="s">
        <v>18</v>
      </c>
      <c r="G74" s="77">
        <f>G70-G75</f>
        <v>0</v>
      </c>
      <c r="H74" s="77">
        <f t="shared" ref="H74:M74" si="23">H70-H75</f>
        <v>454.70000000000027</v>
      </c>
      <c r="I74" s="77">
        <f t="shared" si="23"/>
        <v>74.699999999999989</v>
      </c>
      <c r="J74" s="77">
        <f t="shared" si="23"/>
        <v>0</v>
      </c>
      <c r="K74" s="77">
        <f t="shared" si="23"/>
        <v>135.80000000000018</v>
      </c>
      <c r="L74" s="77">
        <f t="shared" si="23"/>
        <v>0</v>
      </c>
      <c r="M74" s="77">
        <f t="shared" si="23"/>
        <v>665.20000000000073</v>
      </c>
    </row>
    <row r="75" spans="1:18" hidden="1" x14ac:dyDescent="0.3">
      <c r="A75" s="51"/>
      <c r="B75" s="51"/>
      <c r="C75" s="51"/>
      <c r="D75" s="51"/>
      <c r="E75" s="51"/>
      <c r="F75" s="76" t="s">
        <v>19</v>
      </c>
      <c r="G75" s="77">
        <f t="shared" ref="G75:M75" si="24">G69+G66+G52+G41+G33</f>
        <v>3543.9099999999989</v>
      </c>
      <c r="H75" s="77">
        <f t="shared" si="24"/>
        <v>2163.3000000000002</v>
      </c>
      <c r="I75" s="77">
        <f t="shared" si="24"/>
        <v>417.21</v>
      </c>
      <c r="J75" s="77">
        <f t="shared" si="24"/>
        <v>34.94</v>
      </c>
      <c r="K75" s="77">
        <f t="shared" si="24"/>
        <v>3112.8000000000006</v>
      </c>
      <c r="L75" s="77">
        <f t="shared" si="24"/>
        <v>14.99</v>
      </c>
      <c r="M75" s="77">
        <f t="shared" si="24"/>
        <v>9287.1500000000015</v>
      </c>
    </row>
    <row r="76" spans="1:18" hidden="1" x14ac:dyDescent="0.3">
      <c r="A76" s="51"/>
      <c r="B76" s="51"/>
      <c r="C76" s="51"/>
      <c r="D76" s="51"/>
      <c r="E76" s="51"/>
      <c r="F76" s="78" t="s">
        <v>20</v>
      </c>
      <c r="G76" s="79">
        <f t="shared" ref="G76:L76" si="25">SUM(G74:G75)</f>
        <v>3543.9099999999989</v>
      </c>
      <c r="H76" s="79">
        <f t="shared" si="25"/>
        <v>2618.0000000000005</v>
      </c>
      <c r="I76" s="79">
        <f t="shared" si="25"/>
        <v>491.90999999999997</v>
      </c>
      <c r="J76" s="79">
        <f t="shared" si="25"/>
        <v>34.94</v>
      </c>
      <c r="K76" s="79">
        <f t="shared" si="25"/>
        <v>3248.6000000000008</v>
      </c>
      <c r="L76" s="79">
        <f t="shared" si="25"/>
        <v>14.99</v>
      </c>
      <c r="M76" s="80">
        <f>SUM(G76:L76)</f>
        <v>9952.35</v>
      </c>
    </row>
    <row r="77" spans="1:18" ht="14.5" hidden="1" thickBot="1" x14ac:dyDescent="0.35">
      <c r="A77" s="51"/>
      <c r="B77" s="51"/>
      <c r="C77" s="51"/>
      <c r="D77" s="51"/>
      <c r="E77" s="51"/>
      <c r="F77" s="81" t="s">
        <v>21</v>
      </c>
      <c r="G77" s="82">
        <f t="shared" ref="G77:L77" si="26">SUM(G76:G76)</f>
        <v>3543.9099999999989</v>
      </c>
      <c r="H77" s="82">
        <f t="shared" si="26"/>
        <v>2618.0000000000005</v>
      </c>
      <c r="I77" s="82">
        <f t="shared" si="26"/>
        <v>491.90999999999997</v>
      </c>
      <c r="J77" s="82">
        <f t="shared" si="26"/>
        <v>34.94</v>
      </c>
      <c r="K77" s="82">
        <f t="shared" si="26"/>
        <v>3248.6000000000008</v>
      </c>
      <c r="L77" s="82">
        <f t="shared" si="26"/>
        <v>14.99</v>
      </c>
      <c r="M77" s="83">
        <f>SUM(G77:L77)</f>
        <v>9952.35</v>
      </c>
    </row>
    <row r="78" spans="1:18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</sheetData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9"/>
  <sheetViews>
    <sheetView zoomScaleNormal="100" workbookViewId="0">
      <pane xSplit="1" ySplit="2" topLeftCell="B38" activePane="bottomRight" state="frozen"/>
      <selection sqref="A1:XFD1048576"/>
      <selection pane="topRight" sqref="A1:XFD1048576"/>
      <selection pane="bottomLeft" sqref="A1:XFD1048576"/>
      <selection pane="bottomRight" activeCell="A70" sqref="A70:XFD79"/>
    </sheetView>
  </sheetViews>
  <sheetFormatPr defaultColWidth="9.1796875" defaultRowHeight="14" x14ac:dyDescent="0.3"/>
  <cols>
    <col min="1" max="1" width="22" style="1" customWidth="1"/>
    <col min="2" max="2" width="29.81640625" style="1" customWidth="1"/>
    <col min="3" max="3" width="25.26953125" style="1" customWidth="1"/>
    <col min="4" max="4" width="33" style="1" customWidth="1"/>
    <col min="5" max="5" width="19.1796875" style="1" customWidth="1"/>
    <col min="6" max="6" width="20.81640625" style="1" customWidth="1"/>
    <col min="7" max="7" width="8.1796875" style="1" customWidth="1"/>
    <col min="8" max="8" width="9.1796875" style="1"/>
    <col min="9" max="9" width="10.7265625" style="1" customWidth="1"/>
    <col min="10" max="14" width="9.1796875" style="1"/>
    <col min="15" max="15" width="10" style="1" customWidth="1"/>
    <col min="16" max="18" width="9.1796875" style="1"/>
    <col min="19" max="19" width="17" style="1" customWidth="1"/>
    <col min="20" max="16384" width="9.1796875" style="1"/>
  </cols>
  <sheetData>
    <row r="1" spans="1:13" ht="22.5" x14ac:dyDescent="0.45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23</v>
      </c>
      <c r="J2" s="34" t="s">
        <v>24</v>
      </c>
      <c r="K2" s="34" t="s">
        <v>10</v>
      </c>
      <c r="L2" s="34" t="s">
        <v>11</v>
      </c>
      <c r="M2" s="34" t="s">
        <v>12</v>
      </c>
    </row>
    <row r="3" spans="1:13" hidden="1" x14ac:dyDescent="0.3">
      <c r="A3" s="54" t="s">
        <v>41</v>
      </c>
      <c r="B3" s="54" t="s">
        <v>34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.5" hidden="1" x14ac:dyDescent="0.35">
      <c r="A4" s="45" t="s">
        <v>41</v>
      </c>
      <c r="B4" s="39"/>
      <c r="C4" s="41"/>
      <c r="D4" s="42"/>
      <c r="E4" s="43"/>
      <c r="F4" s="39"/>
      <c r="G4" s="44">
        <f>SUM(G3)</f>
        <v>0</v>
      </c>
      <c r="H4" s="44">
        <f t="shared" ref="H4:L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/>
    </row>
    <row r="5" spans="1:13" hidden="1" x14ac:dyDescent="0.3">
      <c r="A5" s="54" t="s">
        <v>53</v>
      </c>
      <c r="B5" s="54" t="s">
        <v>34</v>
      </c>
      <c r="C5" s="36"/>
      <c r="D5" s="35"/>
      <c r="E5" s="36"/>
      <c r="F5" s="37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f>SUM(G5:L5)</f>
        <v>0</v>
      </c>
    </row>
    <row r="6" spans="1:13" ht="15.5" hidden="1" x14ac:dyDescent="0.35">
      <c r="A6" s="45" t="s">
        <v>53</v>
      </c>
      <c r="B6" s="39"/>
      <c r="C6" s="41"/>
      <c r="D6" s="42"/>
      <c r="E6" s="43"/>
      <c r="F6" s="39"/>
      <c r="G6" s="44">
        <f>SUM(G5)</f>
        <v>0</v>
      </c>
      <c r="H6" s="44">
        <f t="shared" ref="H6:L6" si="1">SUM(H5)</f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/>
    </row>
    <row r="7" spans="1:13" hidden="1" x14ac:dyDescent="0.3">
      <c r="A7" s="54" t="s">
        <v>42</v>
      </c>
      <c r="B7" s="54" t="s">
        <v>34</v>
      </c>
      <c r="C7" s="36"/>
      <c r="D7" s="35"/>
      <c r="E7" s="36"/>
      <c r="F7" s="37"/>
      <c r="G7" s="38">
        <v>0</v>
      </c>
      <c r="H7" s="38"/>
      <c r="I7" s="38"/>
      <c r="J7" s="38"/>
      <c r="K7" s="38"/>
      <c r="L7" s="38"/>
      <c r="M7" s="38">
        <f>SUM(G7:L7)</f>
        <v>0</v>
      </c>
    </row>
    <row r="8" spans="1:13" ht="15.5" hidden="1" x14ac:dyDescent="0.35">
      <c r="A8" s="45" t="s">
        <v>42</v>
      </c>
      <c r="B8" s="39"/>
      <c r="C8" s="41"/>
      <c r="D8" s="42"/>
      <c r="E8" s="43"/>
      <c r="F8" s="39"/>
      <c r="G8" s="44">
        <f>SUM(G7)</f>
        <v>0</v>
      </c>
      <c r="H8" s="44">
        <f t="shared" ref="H8:L8" si="2">SUM(H7)</f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44"/>
    </row>
    <row r="9" spans="1:13" hidden="1" x14ac:dyDescent="0.3">
      <c r="A9" s="54" t="s">
        <v>40</v>
      </c>
      <c r="B9" s="54" t="s">
        <v>34</v>
      </c>
      <c r="C9" s="36">
        <v>45177</v>
      </c>
      <c r="D9" s="35" t="s">
        <v>111</v>
      </c>
      <c r="E9" s="36">
        <v>45190</v>
      </c>
      <c r="F9" s="37" t="s">
        <v>35</v>
      </c>
      <c r="G9" s="38"/>
      <c r="H9" s="38">
        <f>111+13.6</f>
        <v>124.6</v>
      </c>
      <c r="I9" s="38"/>
      <c r="J9" s="38"/>
      <c r="K9" s="38"/>
      <c r="L9" s="38"/>
      <c r="M9" s="38">
        <f>SUM(G9:L9)</f>
        <v>124.6</v>
      </c>
    </row>
    <row r="10" spans="1:13" hidden="1" x14ac:dyDescent="0.3">
      <c r="A10" s="54" t="s">
        <v>40</v>
      </c>
      <c r="B10" s="54" t="s">
        <v>34</v>
      </c>
      <c r="C10" s="36">
        <v>45183</v>
      </c>
      <c r="D10" s="35" t="s">
        <v>115</v>
      </c>
      <c r="E10" s="36">
        <v>45106</v>
      </c>
      <c r="F10" s="37" t="s">
        <v>35</v>
      </c>
      <c r="G10" s="38"/>
      <c r="H10" s="38">
        <v>13.5</v>
      </c>
      <c r="I10" s="38">
        <v>25</v>
      </c>
      <c r="J10" s="38"/>
      <c r="K10" s="38"/>
      <c r="L10" s="38">
        <v>16.170000000000002</v>
      </c>
      <c r="M10" s="38">
        <f t="shared" ref="M10" si="3">SUM(G10:L10)</f>
        <v>54.67</v>
      </c>
    </row>
    <row r="11" spans="1:13" hidden="1" x14ac:dyDescent="0.3">
      <c r="A11" s="54"/>
      <c r="B11" s="54"/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/>
    </row>
    <row r="12" spans="1:13" ht="15.5" hidden="1" x14ac:dyDescent="0.35">
      <c r="A12" s="45" t="s">
        <v>40</v>
      </c>
      <c r="B12" s="39"/>
      <c r="C12" s="41"/>
      <c r="D12" s="42"/>
      <c r="E12" s="43"/>
      <c r="F12" s="39"/>
      <c r="G12" s="44">
        <f t="shared" ref="G12:M12" si="4">SUM(G9:G10)</f>
        <v>0</v>
      </c>
      <c r="H12" s="44">
        <f t="shared" si="4"/>
        <v>138.1</v>
      </c>
      <c r="I12" s="44">
        <f t="shared" si="4"/>
        <v>25</v>
      </c>
      <c r="J12" s="44">
        <f t="shared" si="4"/>
        <v>0</v>
      </c>
      <c r="K12" s="44">
        <f t="shared" si="4"/>
        <v>0</v>
      </c>
      <c r="L12" s="44">
        <f t="shared" si="4"/>
        <v>16.170000000000002</v>
      </c>
      <c r="M12" s="44">
        <f t="shared" si="4"/>
        <v>179.26999999999998</v>
      </c>
    </row>
    <row r="13" spans="1:13" hidden="1" x14ac:dyDescent="0.3">
      <c r="A13" s="54" t="s">
        <v>38</v>
      </c>
      <c r="B13" s="54" t="s">
        <v>34</v>
      </c>
      <c r="C13" s="36">
        <v>45112</v>
      </c>
      <c r="D13" s="46" t="s">
        <v>96</v>
      </c>
      <c r="E13" s="36">
        <v>45085</v>
      </c>
      <c r="F13" s="37" t="s">
        <v>35</v>
      </c>
      <c r="G13" s="38"/>
      <c r="H13" s="38">
        <v>46.3</v>
      </c>
      <c r="I13" s="38">
        <v>8.5</v>
      </c>
      <c r="J13" s="38"/>
      <c r="K13" s="38"/>
      <c r="L13" s="38"/>
      <c r="M13" s="38">
        <f>SUM(G13:L13)</f>
        <v>54.8</v>
      </c>
    </row>
    <row r="14" spans="1:13" hidden="1" x14ac:dyDescent="0.3">
      <c r="A14" s="54" t="s">
        <v>38</v>
      </c>
      <c r="B14" s="54" t="s">
        <v>34</v>
      </c>
      <c r="C14" s="36">
        <v>45191</v>
      </c>
      <c r="D14" s="46" t="s">
        <v>111</v>
      </c>
      <c r="E14" s="36">
        <v>45190</v>
      </c>
      <c r="F14" s="37" t="s">
        <v>35</v>
      </c>
      <c r="G14" s="38"/>
      <c r="H14" s="38">
        <v>46.3</v>
      </c>
      <c r="I14" s="38">
        <v>8.5</v>
      </c>
      <c r="J14" s="38"/>
      <c r="K14" s="38"/>
      <c r="L14" s="38"/>
      <c r="M14" s="38">
        <f>SUM(G14:L14)</f>
        <v>54.8</v>
      </c>
    </row>
    <row r="15" spans="1:13" hidden="1" x14ac:dyDescent="0.3">
      <c r="A15" s="54"/>
      <c r="B15" s="54"/>
      <c r="C15" s="36"/>
      <c r="D15" s="46"/>
      <c r="E15" s="36"/>
      <c r="F15" s="37"/>
      <c r="G15" s="38"/>
      <c r="H15" s="38"/>
      <c r="I15" s="38"/>
      <c r="J15" s="38"/>
      <c r="K15" s="38"/>
      <c r="L15" s="38"/>
      <c r="M15" s="38"/>
    </row>
    <row r="16" spans="1:13" hidden="1" x14ac:dyDescent="0.3">
      <c r="A16" s="41" t="s">
        <v>38</v>
      </c>
      <c r="B16" s="41"/>
      <c r="C16" s="41"/>
      <c r="D16" s="42"/>
      <c r="E16" s="43"/>
      <c r="F16" s="39"/>
      <c r="G16" s="44">
        <f>SUM(G13:G14)</f>
        <v>0</v>
      </c>
      <c r="H16" s="44">
        <f t="shared" ref="H16:M16" si="5">SUM(H13:H14)</f>
        <v>92.6</v>
      </c>
      <c r="I16" s="44">
        <f t="shared" si="5"/>
        <v>17</v>
      </c>
      <c r="J16" s="44">
        <f t="shared" si="5"/>
        <v>0</v>
      </c>
      <c r="K16" s="44">
        <f t="shared" si="5"/>
        <v>0</v>
      </c>
      <c r="L16" s="44">
        <f t="shared" si="5"/>
        <v>0</v>
      </c>
      <c r="M16" s="44">
        <f t="shared" si="5"/>
        <v>109.6</v>
      </c>
    </row>
    <row r="17" spans="1:17" hidden="1" x14ac:dyDescent="0.3">
      <c r="A17" s="54" t="s">
        <v>43</v>
      </c>
      <c r="B17" s="54" t="s">
        <v>34</v>
      </c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>SUM(G17:L17)</f>
        <v>0</v>
      </c>
    </row>
    <row r="18" spans="1:17" hidden="1" x14ac:dyDescent="0.3">
      <c r="A18" s="41" t="s">
        <v>43</v>
      </c>
      <c r="B18" s="41"/>
      <c r="C18" s="41"/>
      <c r="D18" s="42"/>
      <c r="E18" s="43"/>
      <c r="F18" s="39"/>
      <c r="G18" s="44">
        <f t="shared" ref="G18:M18" si="6">SUM(G17:G17)</f>
        <v>0</v>
      </c>
      <c r="H18" s="44">
        <f t="shared" si="6"/>
        <v>0</v>
      </c>
      <c r="I18" s="44">
        <f t="shared" si="6"/>
        <v>0</v>
      </c>
      <c r="J18" s="44">
        <f t="shared" si="6"/>
        <v>0</v>
      </c>
      <c r="K18" s="44">
        <f t="shared" si="6"/>
        <v>0</v>
      </c>
      <c r="L18" s="44">
        <f t="shared" si="6"/>
        <v>0</v>
      </c>
      <c r="M18" s="44">
        <f t="shared" si="6"/>
        <v>0</v>
      </c>
    </row>
    <row r="19" spans="1:17" hidden="1" x14ac:dyDescent="0.3">
      <c r="A19" s="54" t="s">
        <v>36</v>
      </c>
      <c r="B19" s="54" t="s">
        <v>34</v>
      </c>
      <c r="C19" s="36">
        <v>45132</v>
      </c>
      <c r="D19" s="35" t="s">
        <v>115</v>
      </c>
      <c r="E19" s="36">
        <v>45106</v>
      </c>
      <c r="F19" s="37" t="s">
        <v>35</v>
      </c>
      <c r="G19" s="38"/>
      <c r="H19" s="38">
        <v>64.900000000000006</v>
      </c>
      <c r="I19" s="38">
        <v>6.7</v>
      </c>
      <c r="J19" s="38"/>
      <c r="K19" s="38"/>
      <c r="L19" s="38"/>
      <c r="M19" s="38">
        <f t="shared" ref="M19:M68" si="7">SUM(G19:L19)</f>
        <v>71.600000000000009</v>
      </c>
    </row>
    <row r="20" spans="1:17" hidden="1" x14ac:dyDescent="0.3">
      <c r="A20" s="54" t="s">
        <v>36</v>
      </c>
      <c r="B20" s="54" t="s">
        <v>34</v>
      </c>
      <c r="C20" s="36">
        <v>45204</v>
      </c>
      <c r="D20" s="46" t="s">
        <v>111</v>
      </c>
      <c r="E20" s="36">
        <v>45190</v>
      </c>
      <c r="F20" s="37" t="s">
        <v>35</v>
      </c>
      <c r="G20" s="38"/>
      <c r="H20" s="38">
        <v>64.900000000000006</v>
      </c>
      <c r="I20" s="38">
        <v>6.7</v>
      </c>
      <c r="J20" s="38"/>
      <c r="K20" s="38"/>
      <c r="L20" s="38"/>
      <c r="M20" s="38">
        <f t="shared" si="7"/>
        <v>71.600000000000009</v>
      </c>
    </row>
    <row r="21" spans="1:17" hidden="1" x14ac:dyDescent="0.3">
      <c r="A21" s="54"/>
      <c r="B21" s="54"/>
      <c r="C21" s="36"/>
      <c r="D21" s="46"/>
      <c r="E21" s="36"/>
      <c r="F21" s="37"/>
      <c r="G21" s="38"/>
      <c r="H21" s="38"/>
      <c r="I21" s="38"/>
      <c r="J21" s="38"/>
      <c r="K21" s="38"/>
      <c r="L21" s="38"/>
      <c r="M21" s="38"/>
    </row>
    <row r="22" spans="1:17" hidden="1" x14ac:dyDescent="0.3">
      <c r="A22" s="58" t="s">
        <v>36</v>
      </c>
      <c r="B22" s="59"/>
      <c r="C22" s="41"/>
      <c r="D22" s="42"/>
      <c r="E22" s="43"/>
      <c r="F22" s="39"/>
      <c r="G22" s="44">
        <f>SUM(G19:G20)</f>
        <v>0</v>
      </c>
      <c r="H22" s="44">
        <f t="shared" ref="H22:M22" si="8">SUM(H19:H20)</f>
        <v>129.80000000000001</v>
      </c>
      <c r="I22" s="44">
        <f t="shared" si="8"/>
        <v>13.4</v>
      </c>
      <c r="J22" s="44">
        <f t="shared" si="8"/>
        <v>0</v>
      </c>
      <c r="K22" s="44">
        <f t="shared" si="8"/>
        <v>0</v>
      </c>
      <c r="L22" s="44">
        <f t="shared" si="8"/>
        <v>0</v>
      </c>
      <c r="M22" s="44">
        <f t="shared" si="8"/>
        <v>143.20000000000002</v>
      </c>
    </row>
    <row r="23" spans="1:17" hidden="1" x14ac:dyDescent="0.3">
      <c r="A23" s="54" t="s">
        <v>71</v>
      </c>
      <c r="B23" s="54" t="s">
        <v>34</v>
      </c>
      <c r="C23" s="36"/>
      <c r="D23" s="35"/>
      <c r="E23" s="36"/>
      <c r="F23" s="37"/>
      <c r="G23" s="38"/>
      <c r="H23" s="38"/>
      <c r="I23" s="38"/>
      <c r="J23" s="38"/>
      <c r="K23" s="38"/>
      <c r="L23" s="38"/>
      <c r="M23" s="38">
        <f t="shared" si="7"/>
        <v>0</v>
      </c>
    </row>
    <row r="24" spans="1:17" ht="15.5" hidden="1" x14ac:dyDescent="0.35">
      <c r="A24" s="45" t="s">
        <v>71</v>
      </c>
      <c r="B24" s="39"/>
      <c r="C24" s="41"/>
      <c r="D24" s="42"/>
      <c r="E24" s="43"/>
      <c r="F24" s="39"/>
      <c r="G24" s="44">
        <f t="shared" ref="G24:M24" si="9">SUM(G23:G23)</f>
        <v>0</v>
      </c>
      <c r="H24" s="44">
        <f t="shared" si="9"/>
        <v>0</v>
      </c>
      <c r="I24" s="44">
        <f t="shared" si="9"/>
        <v>0</v>
      </c>
      <c r="J24" s="44">
        <f t="shared" si="9"/>
        <v>0</v>
      </c>
      <c r="K24" s="44">
        <f t="shared" si="9"/>
        <v>0</v>
      </c>
      <c r="L24" s="44">
        <f t="shared" si="9"/>
        <v>0</v>
      </c>
      <c r="M24" s="44">
        <f t="shared" si="9"/>
        <v>0</v>
      </c>
    </row>
    <row r="25" spans="1:17" hidden="1" x14ac:dyDescent="0.3">
      <c r="A25" s="35" t="s">
        <v>56</v>
      </c>
      <c r="B25" s="35" t="s">
        <v>34</v>
      </c>
      <c r="C25" s="36">
        <v>45183</v>
      </c>
      <c r="D25" s="35" t="s">
        <v>115</v>
      </c>
      <c r="E25" s="36">
        <v>45106</v>
      </c>
      <c r="F25" s="37" t="s">
        <v>35</v>
      </c>
      <c r="G25" s="38"/>
      <c r="H25" s="38">
        <f>53.65+4.7</f>
        <v>58.35</v>
      </c>
      <c r="I25" s="38"/>
      <c r="J25" s="38"/>
      <c r="K25" s="38">
        <v>88.2</v>
      </c>
      <c r="L25" s="38"/>
      <c r="M25" s="38">
        <f t="shared" si="7"/>
        <v>146.55000000000001</v>
      </c>
    </row>
    <row r="26" spans="1:17" hidden="1" x14ac:dyDescent="0.3">
      <c r="A26" s="35" t="s">
        <v>56</v>
      </c>
      <c r="B26" s="35" t="s">
        <v>34</v>
      </c>
      <c r="C26" s="36">
        <v>45188</v>
      </c>
      <c r="D26" s="35" t="s">
        <v>96</v>
      </c>
      <c r="E26" s="36">
        <v>45085</v>
      </c>
      <c r="F26" s="37" t="s">
        <v>35</v>
      </c>
      <c r="G26" s="38"/>
      <c r="H26" s="38">
        <f>53.65+6.2</f>
        <v>59.85</v>
      </c>
      <c r="I26" s="38"/>
      <c r="J26" s="38"/>
      <c r="K26" s="38"/>
      <c r="L26" s="38"/>
      <c r="M26" s="38">
        <f t="shared" si="7"/>
        <v>59.85</v>
      </c>
    </row>
    <row r="27" spans="1:17" hidden="1" x14ac:dyDescent="0.3">
      <c r="A27" s="35" t="s">
        <v>56</v>
      </c>
      <c r="B27" s="35" t="s">
        <v>34</v>
      </c>
      <c r="C27" s="36">
        <v>45209</v>
      </c>
      <c r="D27" s="35" t="s">
        <v>111</v>
      </c>
      <c r="E27" s="36">
        <v>45190</v>
      </c>
      <c r="F27" s="37" t="s">
        <v>35</v>
      </c>
      <c r="G27" s="38"/>
      <c r="H27" s="38">
        <f>53.65+4.7</f>
        <v>58.35</v>
      </c>
      <c r="I27" s="38"/>
      <c r="J27" s="38"/>
      <c r="K27" s="38">
        <v>76.989999999999995</v>
      </c>
      <c r="L27" s="38"/>
      <c r="M27" s="38">
        <f t="shared" si="7"/>
        <v>135.34</v>
      </c>
    </row>
    <row r="28" spans="1:17" hidden="1" x14ac:dyDescent="0.3">
      <c r="A28" s="35"/>
      <c r="B28" s="35"/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/>
    </row>
    <row r="29" spans="1:17" ht="15.5" hidden="1" x14ac:dyDescent="0.35">
      <c r="A29" s="45" t="s">
        <v>56</v>
      </c>
      <c r="B29" s="39"/>
      <c r="C29" s="41"/>
      <c r="D29" s="42"/>
      <c r="E29" s="43"/>
      <c r="F29" s="39"/>
      <c r="G29" s="44">
        <f t="shared" ref="G29:M29" si="10">SUM(G25:G27)</f>
        <v>0</v>
      </c>
      <c r="H29" s="44">
        <f t="shared" si="10"/>
        <v>176.55</v>
      </c>
      <c r="I29" s="44">
        <f t="shared" si="10"/>
        <v>0</v>
      </c>
      <c r="J29" s="44">
        <f t="shared" si="10"/>
        <v>0</v>
      </c>
      <c r="K29" s="44">
        <f t="shared" si="10"/>
        <v>165.19</v>
      </c>
      <c r="L29" s="44">
        <f t="shared" si="10"/>
        <v>0</v>
      </c>
      <c r="M29" s="44">
        <f t="shared" si="10"/>
        <v>341.74</v>
      </c>
    </row>
    <row r="30" spans="1:17" hidden="1" x14ac:dyDescent="0.3">
      <c r="A30" s="35" t="s">
        <v>49</v>
      </c>
      <c r="B30" s="54" t="s">
        <v>48</v>
      </c>
      <c r="C30" s="35">
        <v>45138</v>
      </c>
      <c r="D30" s="35" t="s">
        <v>76</v>
      </c>
      <c r="E30" s="36">
        <v>45064</v>
      </c>
      <c r="F30" s="37" t="s">
        <v>37</v>
      </c>
      <c r="G30" s="38"/>
      <c r="H30" s="38">
        <v>-99</v>
      </c>
      <c r="I30" s="38"/>
      <c r="J30" s="38"/>
      <c r="K30" s="38"/>
      <c r="L30" s="38"/>
      <c r="M30" s="38">
        <f t="shared" si="7"/>
        <v>-99</v>
      </c>
      <c r="Q30" s="2"/>
    </row>
    <row r="31" spans="1:17" hidden="1" x14ac:dyDescent="0.3">
      <c r="A31" s="35" t="s">
        <v>49</v>
      </c>
      <c r="B31" s="54" t="s">
        <v>48</v>
      </c>
      <c r="C31" s="35">
        <v>45117</v>
      </c>
      <c r="D31" s="35" t="s">
        <v>116</v>
      </c>
      <c r="E31" s="36">
        <v>45118</v>
      </c>
      <c r="F31" s="37" t="s">
        <v>35</v>
      </c>
      <c r="G31" s="38"/>
      <c r="H31" s="38">
        <v>90.8</v>
      </c>
      <c r="I31" s="38"/>
      <c r="J31" s="38"/>
      <c r="K31" s="38"/>
      <c r="L31" s="38"/>
      <c r="M31" s="38">
        <f t="shared" si="7"/>
        <v>90.8</v>
      </c>
      <c r="Q31" s="2"/>
    </row>
    <row r="32" spans="1:17" hidden="1" x14ac:dyDescent="0.3">
      <c r="A32" s="35" t="s">
        <v>49</v>
      </c>
      <c r="B32" s="54" t="s">
        <v>48</v>
      </c>
      <c r="C32" s="35">
        <v>45138</v>
      </c>
      <c r="D32" s="35" t="s">
        <v>117</v>
      </c>
      <c r="E32" s="36">
        <v>45139</v>
      </c>
      <c r="F32" s="37" t="s">
        <v>35</v>
      </c>
      <c r="G32" s="38"/>
      <c r="H32" s="38">
        <v>90.7</v>
      </c>
      <c r="I32" s="38"/>
      <c r="J32" s="38"/>
      <c r="K32" s="38"/>
      <c r="L32" s="38"/>
      <c r="M32" s="38">
        <f t="shared" si="7"/>
        <v>90.7</v>
      </c>
      <c r="Q32" s="2"/>
    </row>
    <row r="33" spans="1:17" hidden="1" x14ac:dyDescent="0.3">
      <c r="A33" s="35" t="s">
        <v>49</v>
      </c>
      <c r="B33" s="54" t="s">
        <v>48</v>
      </c>
      <c r="C33" s="35">
        <v>45138</v>
      </c>
      <c r="D33" s="35" t="s">
        <v>117</v>
      </c>
      <c r="E33" s="36">
        <v>45140</v>
      </c>
      <c r="F33" s="37" t="s">
        <v>35</v>
      </c>
      <c r="G33" s="38"/>
      <c r="H33" s="38">
        <f>90.8-85.8</f>
        <v>5</v>
      </c>
      <c r="I33" s="38"/>
      <c r="J33" s="38"/>
      <c r="K33" s="38"/>
      <c r="L33" s="38"/>
      <c r="M33" s="38">
        <f t="shared" si="7"/>
        <v>5</v>
      </c>
      <c r="Q33" s="2"/>
    </row>
    <row r="34" spans="1:17" hidden="1" x14ac:dyDescent="0.3">
      <c r="A34" s="35" t="s">
        <v>49</v>
      </c>
      <c r="B34" s="54" t="s">
        <v>48</v>
      </c>
      <c r="C34" s="35">
        <v>45154</v>
      </c>
      <c r="D34" s="35" t="s">
        <v>118</v>
      </c>
      <c r="E34" s="36">
        <v>45155</v>
      </c>
      <c r="F34" s="37" t="s">
        <v>35</v>
      </c>
      <c r="G34" s="38"/>
      <c r="H34" s="38">
        <v>98.1</v>
      </c>
      <c r="I34" s="38"/>
      <c r="J34" s="38"/>
      <c r="K34" s="38"/>
      <c r="L34" s="38"/>
      <c r="M34" s="38">
        <f t="shared" si="7"/>
        <v>98.1</v>
      </c>
      <c r="Q34" s="2"/>
    </row>
    <row r="35" spans="1:17" hidden="1" x14ac:dyDescent="0.3">
      <c r="A35" s="35" t="s">
        <v>49</v>
      </c>
      <c r="B35" s="54" t="s">
        <v>48</v>
      </c>
      <c r="C35" s="35">
        <v>45159</v>
      </c>
      <c r="D35" s="35" t="s">
        <v>118</v>
      </c>
      <c r="E35" s="36">
        <v>45160</v>
      </c>
      <c r="F35" s="37" t="s">
        <v>35</v>
      </c>
      <c r="G35" s="38"/>
      <c r="H35" s="38">
        <v>98.1</v>
      </c>
      <c r="I35" s="38"/>
      <c r="J35" s="38"/>
      <c r="K35" s="38"/>
      <c r="L35" s="38"/>
      <c r="M35" s="38">
        <f t="shared" si="7"/>
        <v>98.1</v>
      </c>
      <c r="Q35" s="2"/>
    </row>
    <row r="36" spans="1:17" hidden="1" x14ac:dyDescent="0.3">
      <c r="A36" s="35" t="s">
        <v>49</v>
      </c>
      <c r="B36" s="54" t="s">
        <v>48</v>
      </c>
      <c r="C36" s="35">
        <v>45183</v>
      </c>
      <c r="D36" s="35" t="s">
        <v>111</v>
      </c>
      <c r="E36" s="36">
        <v>45190</v>
      </c>
      <c r="F36" s="37" t="s">
        <v>35</v>
      </c>
      <c r="G36" s="38"/>
      <c r="H36" s="38">
        <v>90.7</v>
      </c>
      <c r="I36" s="38"/>
      <c r="J36" s="38"/>
      <c r="K36" s="38"/>
      <c r="L36" s="38"/>
      <c r="M36" s="38">
        <f t="shared" si="7"/>
        <v>90.7</v>
      </c>
      <c r="Q36" s="2"/>
    </row>
    <row r="37" spans="1:17" hidden="1" x14ac:dyDescent="0.3">
      <c r="A37" s="35"/>
      <c r="B37" s="54"/>
      <c r="C37" s="35"/>
      <c r="D37" s="35"/>
      <c r="E37" s="36"/>
      <c r="F37" s="37"/>
      <c r="G37" s="38"/>
      <c r="H37" s="38"/>
      <c r="I37" s="38"/>
      <c r="J37" s="38"/>
      <c r="K37" s="38"/>
      <c r="L37" s="38"/>
      <c r="M37" s="38"/>
      <c r="Q37" s="2"/>
    </row>
    <row r="38" spans="1:17" ht="15.5" hidden="1" x14ac:dyDescent="0.35">
      <c r="A38" s="45" t="s">
        <v>49</v>
      </c>
      <c r="B38" s="39"/>
      <c r="C38" s="41"/>
      <c r="D38" s="42"/>
      <c r="E38" s="43"/>
      <c r="F38" s="39"/>
      <c r="G38" s="44">
        <f t="shared" ref="G38:M38" si="11">SUM(G30:G36)</f>
        <v>0</v>
      </c>
      <c r="H38" s="44">
        <f t="shared" si="11"/>
        <v>374.4</v>
      </c>
      <c r="I38" s="44">
        <f t="shared" si="11"/>
        <v>0</v>
      </c>
      <c r="J38" s="44">
        <f t="shared" si="11"/>
        <v>0</v>
      </c>
      <c r="K38" s="44">
        <f t="shared" si="11"/>
        <v>0</v>
      </c>
      <c r="L38" s="44">
        <f t="shared" si="11"/>
        <v>0</v>
      </c>
      <c r="M38" s="44">
        <f t="shared" si="11"/>
        <v>374.4</v>
      </c>
      <c r="Q38" s="2"/>
    </row>
    <row r="39" spans="1:17" hidden="1" x14ac:dyDescent="0.3">
      <c r="A39" s="54" t="s">
        <v>32</v>
      </c>
      <c r="B39" s="54" t="s">
        <v>33</v>
      </c>
      <c r="C39" s="36">
        <v>45139</v>
      </c>
      <c r="D39" s="35" t="s">
        <v>119</v>
      </c>
      <c r="E39" s="36">
        <v>44886</v>
      </c>
      <c r="F39" s="37"/>
      <c r="G39" s="38"/>
      <c r="H39" s="38">
        <v>-198.18</v>
      </c>
      <c r="I39" s="38"/>
      <c r="J39" s="38"/>
      <c r="K39" s="38"/>
      <c r="L39" s="38"/>
      <c r="M39" s="38">
        <f t="shared" si="7"/>
        <v>-198.18</v>
      </c>
    </row>
    <row r="40" spans="1:17" hidden="1" x14ac:dyDescent="0.3">
      <c r="A40" s="54" t="s">
        <v>32</v>
      </c>
      <c r="B40" s="54" t="s">
        <v>33</v>
      </c>
      <c r="C40" s="36">
        <v>45117</v>
      </c>
      <c r="D40" s="35" t="s">
        <v>107</v>
      </c>
      <c r="E40" s="36">
        <v>45117</v>
      </c>
      <c r="F40" s="37" t="s">
        <v>35</v>
      </c>
      <c r="G40" s="38"/>
      <c r="H40" s="38"/>
      <c r="I40" s="38"/>
      <c r="J40" s="38"/>
      <c r="K40" s="38">
        <f>130.79+14.85</f>
        <v>145.63999999999999</v>
      </c>
      <c r="L40" s="38"/>
      <c r="M40" s="38">
        <f t="shared" si="7"/>
        <v>145.63999999999999</v>
      </c>
    </row>
    <row r="41" spans="1:17" hidden="1" x14ac:dyDescent="0.3">
      <c r="A41" s="54" t="s">
        <v>32</v>
      </c>
      <c r="B41" s="54" t="s">
        <v>33</v>
      </c>
      <c r="C41" s="36">
        <v>45125</v>
      </c>
      <c r="D41" s="35" t="s">
        <v>108</v>
      </c>
      <c r="E41" s="36">
        <v>45152</v>
      </c>
      <c r="F41" s="37" t="s">
        <v>35</v>
      </c>
      <c r="G41" s="38"/>
      <c r="H41" s="38">
        <v>235.3</v>
      </c>
      <c r="I41" s="38"/>
      <c r="J41" s="38"/>
      <c r="K41" s="38">
        <f>110.09+21.85</f>
        <v>131.94</v>
      </c>
      <c r="L41" s="38"/>
      <c r="M41" s="38">
        <f t="shared" si="7"/>
        <v>367.24</v>
      </c>
    </row>
    <row r="42" spans="1:17" hidden="1" x14ac:dyDescent="0.3">
      <c r="A42" s="54" t="s">
        <v>32</v>
      </c>
      <c r="B42" s="54" t="s">
        <v>33</v>
      </c>
      <c r="C42" s="36">
        <v>45161</v>
      </c>
      <c r="D42" s="35" t="s">
        <v>109</v>
      </c>
      <c r="E42" s="36">
        <v>45161</v>
      </c>
      <c r="F42" s="37" t="s">
        <v>35</v>
      </c>
      <c r="G42" s="38"/>
      <c r="H42" s="38">
        <v>275.3</v>
      </c>
      <c r="I42" s="38"/>
      <c r="J42" s="38"/>
      <c r="K42" s="38">
        <f>102.6+28.45</f>
        <v>131.04999999999998</v>
      </c>
      <c r="L42" s="38"/>
      <c r="M42" s="38">
        <f t="shared" si="7"/>
        <v>406.35</v>
      </c>
    </row>
    <row r="43" spans="1:17" hidden="1" x14ac:dyDescent="0.3">
      <c r="A43" s="54" t="s">
        <v>32</v>
      </c>
      <c r="B43" s="54" t="s">
        <v>33</v>
      </c>
      <c r="C43" s="36">
        <v>45154</v>
      </c>
      <c r="D43" s="35" t="s">
        <v>111</v>
      </c>
      <c r="E43" s="36">
        <v>45190</v>
      </c>
      <c r="F43" s="37" t="s">
        <v>35</v>
      </c>
      <c r="G43" s="38"/>
      <c r="H43" s="38">
        <v>587.79999999999995</v>
      </c>
      <c r="I43" s="38"/>
      <c r="J43" s="38"/>
      <c r="K43" s="38">
        <v>235.5</v>
      </c>
      <c r="L43" s="38"/>
      <c r="M43" s="38">
        <f t="shared" si="7"/>
        <v>823.3</v>
      </c>
    </row>
    <row r="44" spans="1:17" hidden="1" x14ac:dyDescent="0.3">
      <c r="A44" s="54" t="s">
        <v>32</v>
      </c>
      <c r="B44" s="54" t="s">
        <v>33</v>
      </c>
      <c r="C44" s="36">
        <v>45161</v>
      </c>
      <c r="D44" s="35" t="s">
        <v>110</v>
      </c>
      <c r="E44" s="36">
        <v>45196</v>
      </c>
      <c r="F44" s="37" t="s">
        <v>35</v>
      </c>
      <c r="G44" s="38"/>
      <c r="H44" s="38">
        <v>150.4</v>
      </c>
      <c r="I44" s="38"/>
      <c r="J44" s="38"/>
      <c r="K44" s="38">
        <v>150</v>
      </c>
      <c r="L44" s="38"/>
      <c r="M44" s="38">
        <f t="shared" si="7"/>
        <v>300.39999999999998</v>
      </c>
    </row>
    <row r="45" spans="1:17" hidden="1" x14ac:dyDescent="0.3">
      <c r="A45" s="54" t="s">
        <v>32</v>
      </c>
      <c r="B45" s="54" t="s">
        <v>33</v>
      </c>
      <c r="C45" s="36">
        <v>45154</v>
      </c>
      <c r="D45" s="35" t="s">
        <v>110</v>
      </c>
      <c r="E45" s="36">
        <v>45197</v>
      </c>
      <c r="F45" s="37" t="s">
        <v>35</v>
      </c>
      <c r="G45" s="38"/>
      <c r="H45" s="38"/>
      <c r="I45" s="38"/>
      <c r="J45" s="38"/>
      <c r="K45" s="38">
        <f>144+35.2</f>
        <v>179.2</v>
      </c>
      <c r="L45" s="38"/>
      <c r="M45" s="38">
        <f t="shared" si="7"/>
        <v>179.2</v>
      </c>
    </row>
    <row r="46" spans="1:17" hidden="1" x14ac:dyDescent="0.3">
      <c r="A46" s="54" t="s">
        <v>32</v>
      </c>
      <c r="B46" s="54" t="s">
        <v>33</v>
      </c>
      <c r="C46" s="36">
        <v>45155</v>
      </c>
      <c r="D46" s="35" t="s">
        <v>114</v>
      </c>
      <c r="E46" s="36">
        <v>45217</v>
      </c>
      <c r="F46" s="37" t="s">
        <v>35</v>
      </c>
      <c r="G46" s="38"/>
      <c r="H46" s="38">
        <f>275.3+275.3</f>
        <v>550.6</v>
      </c>
      <c r="I46" s="38"/>
      <c r="J46" s="38"/>
      <c r="K46" s="38"/>
      <c r="L46" s="38"/>
      <c r="M46" s="38">
        <f t="shared" si="7"/>
        <v>550.6</v>
      </c>
    </row>
    <row r="47" spans="1:17" hidden="1" x14ac:dyDescent="0.3">
      <c r="A47" s="54"/>
      <c r="B47" s="54"/>
      <c r="C47" s="36"/>
      <c r="D47" s="35"/>
      <c r="E47" s="36"/>
      <c r="F47" s="37"/>
      <c r="G47" s="38"/>
      <c r="H47" s="38"/>
      <c r="I47" s="38"/>
      <c r="J47" s="38"/>
      <c r="K47" s="38"/>
      <c r="L47" s="38"/>
      <c r="M47" s="38"/>
    </row>
    <row r="48" spans="1:17" ht="15.5" hidden="1" x14ac:dyDescent="0.35">
      <c r="A48" s="45" t="s">
        <v>32</v>
      </c>
      <c r="B48" s="39"/>
      <c r="C48" s="41"/>
      <c r="D48" s="42"/>
      <c r="E48" s="43"/>
      <c r="F48" s="39"/>
      <c r="G48" s="44">
        <f t="shared" ref="G48:M48" si="12">SUM(G39:G46)</f>
        <v>0</v>
      </c>
      <c r="H48" s="44">
        <f t="shared" si="12"/>
        <v>1601.2200000000003</v>
      </c>
      <c r="I48" s="44">
        <f t="shared" si="12"/>
        <v>0</v>
      </c>
      <c r="J48" s="44">
        <f t="shared" si="12"/>
        <v>0</v>
      </c>
      <c r="K48" s="44">
        <f t="shared" si="12"/>
        <v>973.32999999999993</v>
      </c>
      <c r="L48" s="44">
        <f t="shared" si="12"/>
        <v>0</v>
      </c>
      <c r="M48" s="44">
        <f t="shared" si="12"/>
        <v>2574.5500000000002</v>
      </c>
    </row>
    <row r="49" spans="1:13" hidden="1" x14ac:dyDescent="0.3">
      <c r="A49" s="54" t="s">
        <v>50</v>
      </c>
      <c r="B49" s="54" t="s">
        <v>51</v>
      </c>
      <c r="C49" s="36">
        <v>45157</v>
      </c>
      <c r="D49" s="35" t="s">
        <v>118</v>
      </c>
      <c r="E49" s="36">
        <v>45131</v>
      </c>
      <c r="F49" s="37" t="s">
        <v>35</v>
      </c>
      <c r="G49" s="38"/>
      <c r="H49" s="38">
        <f>-22.4-17.4-10.2-22.4</f>
        <v>-72.400000000000006</v>
      </c>
      <c r="I49" s="38"/>
      <c r="J49" s="38"/>
      <c r="K49" s="38"/>
      <c r="L49" s="38"/>
      <c r="M49" s="38">
        <f t="shared" ref="M49:M52" si="13">SUM(G49:L49)</f>
        <v>-72.400000000000006</v>
      </c>
    </row>
    <row r="50" spans="1:13" hidden="1" x14ac:dyDescent="0.3">
      <c r="A50" s="54" t="s">
        <v>50</v>
      </c>
      <c r="B50" s="54" t="s">
        <v>51</v>
      </c>
      <c r="C50" s="36">
        <v>45175</v>
      </c>
      <c r="D50" s="35" t="s">
        <v>111</v>
      </c>
      <c r="E50" s="36">
        <v>45190</v>
      </c>
      <c r="F50" s="37" t="s">
        <v>35</v>
      </c>
      <c r="G50" s="38"/>
      <c r="H50" s="38">
        <v>54.8</v>
      </c>
      <c r="I50" s="38"/>
      <c r="J50" s="38"/>
      <c r="K50" s="38"/>
      <c r="L50" s="38"/>
      <c r="M50" s="38">
        <f t="shared" si="13"/>
        <v>54.8</v>
      </c>
    </row>
    <row r="51" spans="1:13" hidden="1" x14ac:dyDescent="0.3">
      <c r="A51" s="54" t="s">
        <v>50</v>
      </c>
      <c r="B51" s="54" t="s">
        <v>51</v>
      </c>
      <c r="C51" s="36">
        <v>45175</v>
      </c>
      <c r="D51" s="35" t="s">
        <v>120</v>
      </c>
      <c r="E51" s="36">
        <v>45197</v>
      </c>
      <c r="F51" s="37" t="s">
        <v>35</v>
      </c>
      <c r="G51" s="38"/>
      <c r="H51" s="38">
        <v>54.8</v>
      </c>
      <c r="I51" s="38"/>
      <c r="J51" s="38"/>
      <c r="K51" s="38"/>
      <c r="L51" s="38"/>
      <c r="M51" s="38">
        <f t="shared" si="13"/>
        <v>54.8</v>
      </c>
    </row>
    <row r="52" spans="1:13" hidden="1" x14ac:dyDescent="0.3">
      <c r="A52" s="54" t="s">
        <v>50</v>
      </c>
      <c r="B52" s="54" t="s">
        <v>51</v>
      </c>
      <c r="C52" s="36">
        <v>45175</v>
      </c>
      <c r="D52" s="35" t="s">
        <v>118</v>
      </c>
      <c r="E52" s="36">
        <v>45204</v>
      </c>
      <c r="F52" s="37" t="s">
        <v>35</v>
      </c>
      <c r="G52" s="38"/>
      <c r="H52" s="38">
        <v>54.8</v>
      </c>
      <c r="I52" s="38"/>
      <c r="J52" s="38"/>
      <c r="K52" s="38"/>
      <c r="L52" s="38"/>
      <c r="M52" s="38">
        <f t="shared" si="13"/>
        <v>54.8</v>
      </c>
    </row>
    <row r="53" spans="1:13" hidden="1" x14ac:dyDescent="0.3">
      <c r="A53" s="54"/>
      <c r="B53" s="54"/>
      <c r="C53" s="36"/>
      <c r="D53" s="35"/>
      <c r="E53" s="36"/>
      <c r="F53" s="37"/>
      <c r="G53" s="38"/>
      <c r="H53" s="38"/>
      <c r="I53" s="38"/>
      <c r="J53" s="38"/>
      <c r="K53" s="38"/>
      <c r="L53" s="38"/>
      <c r="M53" s="38"/>
    </row>
    <row r="54" spans="1:13" ht="15.5" hidden="1" x14ac:dyDescent="0.35">
      <c r="A54" s="45" t="s">
        <v>50</v>
      </c>
      <c r="B54" s="39"/>
      <c r="C54" s="41"/>
      <c r="D54" s="42"/>
      <c r="E54" s="43"/>
      <c r="F54" s="39"/>
      <c r="G54" s="44">
        <f t="shared" ref="G54:M54" si="14">SUM(G49:G52)</f>
        <v>0</v>
      </c>
      <c r="H54" s="44">
        <f t="shared" si="14"/>
        <v>91.999999999999986</v>
      </c>
      <c r="I54" s="44">
        <f t="shared" si="14"/>
        <v>0</v>
      </c>
      <c r="J54" s="44">
        <f t="shared" si="14"/>
        <v>0</v>
      </c>
      <c r="K54" s="44">
        <f t="shared" si="14"/>
        <v>0</v>
      </c>
      <c r="L54" s="44">
        <f t="shared" si="14"/>
        <v>0</v>
      </c>
      <c r="M54" s="44">
        <f t="shared" si="14"/>
        <v>91.999999999999986</v>
      </c>
    </row>
    <row r="55" spans="1:13" x14ac:dyDescent="0.3">
      <c r="A55" s="54" t="s">
        <v>31</v>
      </c>
      <c r="B55" s="54" t="s">
        <v>47</v>
      </c>
      <c r="C55" s="36">
        <v>45163</v>
      </c>
      <c r="D55" s="35" t="s">
        <v>121</v>
      </c>
      <c r="E55" s="36">
        <v>45055</v>
      </c>
      <c r="F55" s="37"/>
      <c r="G55" s="38"/>
      <c r="H55" s="38">
        <v>3.7</v>
      </c>
      <c r="I55" s="38">
        <v>9.82</v>
      </c>
      <c r="J55" s="38"/>
      <c r="K55" s="38">
        <v>29.9</v>
      </c>
      <c r="L55" s="38"/>
      <c r="M55" s="38">
        <f>SUM(G55:L55)</f>
        <v>43.42</v>
      </c>
    </row>
    <row r="56" spans="1:13" x14ac:dyDescent="0.3">
      <c r="A56" s="54" t="s">
        <v>31</v>
      </c>
      <c r="B56" s="54" t="s">
        <v>47</v>
      </c>
      <c r="C56" s="36">
        <v>45169</v>
      </c>
      <c r="D56" s="35" t="s">
        <v>105</v>
      </c>
      <c r="E56" s="36">
        <v>45078</v>
      </c>
      <c r="F56" s="37" t="s">
        <v>104</v>
      </c>
      <c r="G56" s="38"/>
      <c r="H56" s="38"/>
      <c r="I56" s="38">
        <v>7.14</v>
      </c>
      <c r="J56" s="38"/>
      <c r="K56" s="38"/>
      <c r="L56" s="38"/>
      <c r="M56" s="38">
        <f t="shared" ref="M56:M59" si="15">SUM(G56:L56)</f>
        <v>7.14</v>
      </c>
    </row>
    <row r="57" spans="1:13" x14ac:dyDescent="0.3">
      <c r="A57" s="54" t="s">
        <v>31</v>
      </c>
      <c r="B57" s="54" t="s">
        <v>47</v>
      </c>
      <c r="C57" s="36">
        <v>45163</v>
      </c>
      <c r="D57" s="35" t="s">
        <v>114</v>
      </c>
      <c r="E57" s="36" t="s">
        <v>102</v>
      </c>
      <c r="F57" s="37" t="s">
        <v>35</v>
      </c>
      <c r="G57" s="38"/>
      <c r="H57" s="38">
        <f>1.9+10+4.9</f>
        <v>16.8</v>
      </c>
      <c r="I57" s="38"/>
      <c r="J57" s="38"/>
      <c r="K57" s="38">
        <f>6+17+4.84+9.83+6.9+4.95+4.99</f>
        <v>54.510000000000005</v>
      </c>
      <c r="L57" s="38"/>
      <c r="M57" s="38">
        <f t="shared" si="15"/>
        <v>71.31</v>
      </c>
    </row>
    <row r="58" spans="1:13" x14ac:dyDescent="0.3">
      <c r="A58" s="54" t="s">
        <v>31</v>
      </c>
      <c r="B58" s="54" t="s">
        <v>47</v>
      </c>
      <c r="C58" s="36">
        <v>45163</v>
      </c>
      <c r="D58" s="35" t="s">
        <v>120</v>
      </c>
      <c r="E58" s="36">
        <v>45092</v>
      </c>
      <c r="F58" s="37" t="s">
        <v>35</v>
      </c>
      <c r="G58" s="38"/>
      <c r="H58" s="38">
        <f>1.9+1.9</f>
        <v>3.8</v>
      </c>
      <c r="I58" s="38"/>
      <c r="J58" s="38"/>
      <c r="K58" s="38">
        <f>3.85+17.9+5.89</f>
        <v>27.64</v>
      </c>
      <c r="L58" s="38"/>
      <c r="M58" s="38">
        <f t="shared" si="15"/>
        <v>31.44</v>
      </c>
    </row>
    <row r="59" spans="1:13" x14ac:dyDescent="0.3">
      <c r="A59" s="54" t="s">
        <v>31</v>
      </c>
      <c r="B59" s="54" t="s">
        <v>47</v>
      </c>
      <c r="C59" s="36">
        <v>45163</v>
      </c>
      <c r="D59" s="35" t="s">
        <v>106</v>
      </c>
      <c r="E59" s="36">
        <v>45105</v>
      </c>
      <c r="F59" s="37" t="s">
        <v>37</v>
      </c>
      <c r="G59" s="38"/>
      <c r="H59" s="38">
        <v>1.9</v>
      </c>
      <c r="I59" s="38"/>
      <c r="J59" s="38"/>
      <c r="K59" s="38">
        <f>4.15+13.4+4.99+4.99</f>
        <v>27.53</v>
      </c>
      <c r="L59" s="38"/>
      <c r="M59" s="38">
        <f t="shared" si="15"/>
        <v>29.43</v>
      </c>
    </row>
    <row r="60" spans="1:13" x14ac:dyDescent="0.3">
      <c r="A60" s="54" t="s">
        <v>31</v>
      </c>
      <c r="B60" s="54" t="s">
        <v>47</v>
      </c>
      <c r="C60" s="36">
        <v>45169</v>
      </c>
      <c r="D60" s="46" t="s">
        <v>84</v>
      </c>
      <c r="E60" s="36">
        <v>45106</v>
      </c>
      <c r="F60" s="37" t="s">
        <v>35</v>
      </c>
      <c r="G60" s="38"/>
      <c r="H60" s="38">
        <v>1.9</v>
      </c>
      <c r="I60" s="38">
        <f>33.32-1.9</f>
        <v>31.42</v>
      </c>
      <c r="J60" s="38"/>
      <c r="K60" s="38"/>
      <c r="L60" s="38"/>
      <c r="M60" s="38">
        <f t="shared" ref="M60:M61" si="16">SUM(G60:L60)</f>
        <v>33.32</v>
      </c>
    </row>
    <row r="61" spans="1:13" x14ac:dyDescent="0.3">
      <c r="A61" s="54" t="s">
        <v>31</v>
      </c>
      <c r="B61" s="54" t="s">
        <v>47</v>
      </c>
      <c r="C61" s="36">
        <v>45230</v>
      </c>
      <c r="D61" s="35" t="s">
        <v>103</v>
      </c>
      <c r="E61" s="36">
        <v>45127</v>
      </c>
      <c r="F61" s="37" t="s">
        <v>37</v>
      </c>
      <c r="G61" s="38"/>
      <c r="H61" s="38">
        <v>7.14</v>
      </c>
      <c r="I61" s="38"/>
      <c r="J61" s="38"/>
      <c r="K61" s="38"/>
      <c r="L61" s="38"/>
      <c r="M61" s="38">
        <f t="shared" si="16"/>
        <v>7.14</v>
      </c>
    </row>
    <row r="62" spans="1:13" x14ac:dyDescent="0.3">
      <c r="A62" s="54" t="s">
        <v>31</v>
      </c>
      <c r="B62" s="54" t="s">
        <v>47</v>
      </c>
      <c r="C62" s="36">
        <v>45132</v>
      </c>
      <c r="D62" s="35" t="s">
        <v>109</v>
      </c>
      <c r="E62" s="36">
        <v>45161</v>
      </c>
      <c r="F62" s="37" t="s">
        <v>35</v>
      </c>
      <c r="G62" s="38">
        <v>277.24</v>
      </c>
      <c r="H62" s="38"/>
      <c r="I62" s="38">
        <v>62.13</v>
      </c>
      <c r="J62" s="38"/>
      <c r="K62" s="38">
        <v>124.19</v>
      </c>
      <c r="L62" s="38"/>
      <c r="M62" s="38">
        <f t="shared" ref="M62:M65" si="17">SUM(G62:L62)</f>
        <v>463.56</v>
      </c>
    </row>
    <row r="63" spans="1:13" x14ac:dyDescent="0.3">
      <c r="A63" s="54" t="s">
        <v>31</v>
      </c>
      <c r="B63" s="54" t="s">
        <v>47</v>
      </c>
      <c r="C63" s="36">
        <v>45147</v>
      </c>
      <c r="D63" s="35" t="s">
        <v>111</v>
      </c>
      <c r="E63" s="36">
        <v>45190</v>
      </c>
      <c r="F63" s="37" t="s">
        <v>35</v>
      </c>
      <c r="G63" s="38">
        <f>256.24+16.28+287.28</f>
        <v>559.79999999999995</v>
      </c>
      <c r="H63" s="38"/>
      <c r="I63" s="38">
        <v>60.13</v>
      </c>
      <c r="J63" s="38"/>
      <c r="K63" s="38">
        <v>233.48</v>
      </c>
      <c r="L63" s="38"/>
      <c r="M63" s="38">
        <f t="shared" si="17"/>
        <v>853.41</v>
      </c>
    </row>
    <row r="64" spans="1:13" x14ac:dyDescent="0.3">
      <c r="A64" s="54" t="s">
        <v>31</v>
      </c>
      <c r="B64" s="54" t="s">
        <v>47</v>
      </c>
      <c r="C64" s="36">
        <v>45170</v>
      </c>
      <c r="D64" s="35" t="s">
        <v>112</v>
      </c>
      <c r="E64" s="36" t="s">
        <v>113</v>
      </c>
      <c r="F64" s="37" t="s">
        <v>35</v>
      </c>
      <c r="G64" s="38">
        <v>447.24</v>
      </c>
      <c r="H64" s="38"/>
      <c r="I64" s="38">
        <v>60.13</v>
      </c>
      <c r="J64" s="38"/>
      <c r="K64" s="38">
        <v>330.88</v>
      </c>
      <c r="L64" s="38"/>
      <c r="M64" s="38">
        <f t="shared" si="17"/>
        <v>838.25</v>
      </c>
    </row>
    <row r="65" spans="1:18" x14ac:dyDescent="0.3">
      <c r="A65" s="54" t="s">
        <v>31</v>
      </c>
      <c r="B65" s="54" t="s">
        <v>47</v>
      </c>
      <c r="C65" s="36">
        <v>45198</v>
      </c>
      <c r="D65" s="35" t="s">
        <v>114</v>
      </c>
      <c r="E65" s="36">
        <v>45217</v>
      </c>
      <c r="F65" s="37" t="s">
        <v>35</v>
      </c>
      <c r="G65" s="38">
        <v>373.91</v>
      </c>
      <c r="H65" s="38"/>
      <c r="I65" s="38"/>
      <c r="J65" s="38"/>
      <c r="K65" s="38"/>
      <c r="L65" s="38"/>
      <c r="M65" s="38">
        <f t="shared" si="17"/>
        <v>373.91</v>
      </c>
    </row>
    <row r="66" spans="1:18" x14ac:dyDescent="0.3">
      <c r="A66" s="54"/>
      <c r="B66" s="54"/>
      <c r="C66" s="36"/>
      <c r="D66" s="35"/>
      <c r="E66" s="36"/>
      <c r="F66" s="37"/>
      <c r="G66" s="38"/>
      <c r="H66" s="38"/>
      <c r="I66" s="38"/>
      <c r="J66" s="38"/>
      <c r="K66" s="38"/>
      <c r="L66" s="38"/>
      <c r="M66" s="38"/>
    </row>
    <row r="67" spans="1:18" ht="15.5" x14ac:dyDescent="0.35">
      <c r="A67" s="45"/>
      <c r="B67" s="39"/>
      <c r="C67" s="41"/>
      <c r="D67" s="42"/>
      <c r="E67" s="43"/>
      <c r="F67" s="39"/>
      <c r="G67" s="44">
        <f t="shared" ref="G67:M67" si="18">SUM(G55:G65)</f>
        <v>1658.19</v>
      </c>
      <c r="H67" s="44">
        <f t="shared" si="18"/>
        <v>35.239999999999995</v>
      </c>
      <c r="I67" s="44">
        <f t="shared" si="18"/>
        <v>230.77</v>
      </c>
      <c r="J67" s="44">
        <f t="shared" si="18"/>
        <v>0</v>
      </c>
      <c r="K67" s="44">
        <f t="shared" si="18"/>
        <v>828.13</v>
      </c>
      <c r="L67" s="44">
        <f t="shared" si="18"/>
        <v>0</v>
      </c>
      <c r="M67" s="44">
        <f t="shared" si="18"/>
        <v>2752.33</v>
      </c>
    </row>
    <row r="68" spans="1:18" x14ac:dyDescent="0.3">
      <c r="A68" s="54" t="s">
        <v>45</v>
      </c>
      <c r="B68" s="54" t="s">
        <v>46</v>
      </c>
      <c r="C68" s="36"/>
      <c r="D68" s="35"/>
      <c r="E68" s="36"/>
      <c r="F68" s="37"/>
      <c r="G68" s="38"/>
      <c r="H68" s="38"/>
      <c r="I68" s="38"/>
      <c r="J68" s="38"/>
      <c r="K68" s="38"/>
      <c r="L68" s="38"/>
      <c r="M68" s="38">
        <f t="shared" si="7"/>
        <v>0</v>
      </c>
    </row>
    <row r="69" spans="1:18" ht="15.5" x14ac:dyDescent="0.35">
      <c r="A69" s="45"/>
      <c r="B69" s="39"/>
      <c r="C69" s="41"/>
      <c r="D69" s="42"/>
      <c r="E69" s="43"/>
      <c r="F69" s="39"/>
      <c r="G69" s="44">
        <f>SUM(G68:G68)</f>
        <v>0</v>
      </c>
      <c r="H69" s="44">
        <f>SUM(H68:H68)</f>
        <v>0</v>
      </c>
      <c r="I69" s="44">
        <f t="shared" ref="I69:M69" si="19">SUM(I68:I68)</f>
        <v>0</v>
      </c>
      <c r="J69" s="44">
        <f t="shared" si="19"/>
        <v>0</v>
      </c>
      <c r="K69" s="44">
        <f t="shared" si="19"/>
        <v>0</v>
      </c>
      <c r="L69" s="44">
        <f t="shared" si="19"/>
        <v>0</v>
      </c>
      <c r="M69" s="44">
        <f t="shared" si="19"/>
        <v>0</v>
      </c>
    </row>
    <row r="70" spans="1:18" ht="14.5" hidden="1" thickBot="1" x14ac:dyDescent="0.35">
      <c r="A70" s="3" t="s">
        <v>22</v>
      </c>
      <c r="B70" s="3"/>
      <c r="C70" s="4"/>
      <c r="D70" s="3"/>
      <c r="E70" s="3"/>
      <c r="F70" s="5"/>
      <c r="G70" s="48">
        <f t="shared" ref="G70:M70" si="20">G4+G6+G8+G12+G16+G18+G22+G24+G29+G38+G48+G54+G67+G69</f>
        <v>1658.19</v>
      </c>
      <c r="H70" s="48">
        <f t="shared" si="20"/>
        <v>2639.91</v>
      </c>
      <c r="I70" s="48">
        <f t="shared" si="20"/>
        <v>286.17</v>
      </c>
      <c r="J70" s="48">
        <f t="shared" si="20"/>
        <v>0</v>
      </c>
      <c r="K70" s="48">
        <f t="shared" si="20"/>
        <v>1966.65</v>
      </c>
      <c r="L70" s="48">
        <f t="shared" si="20"/>
        <v>16.170000000000002</v>
      </c>
      <c r="M70" s="48">
        <f t="shared" si="20"/>
        <v>6567.09</v>
      </c>
    </row>
    <row r="71" spans="1:18" ht="14.5" hidden="1" thickTop="1" x14ac:dyDescent="0.3">
      <c r="A71" s="7"/>
      <c r="B71" s="7"/>
      <c r="C71" s="8"/>
      <c r="D71" s="7"/>
      <c r="E71" s="7"/>
      <c r="F71" s="7"/>
      <c r="G71" s="9"/>
      <c r="H71" s="9"/>
      <c r="I71" s="9"/>
      <c r="J71" s="9"/>
      <c r="K71" s="9"/>
      <c r="L71" s="9"/>
      <c r="M71" s="9"/>
      <c r="O71" s="10"/>
      <c r="R71" s="11"/>
    </row>
    <row r="72" spans="1:18" hidden="1" x14ac:dyDescent="0.3">
      <c r="E72" s="12"/>
      <c r="F72" s="12"/>
      <c r="N72" s="10"/>
      <c r="O72" s="10"/>
    </row>
    <row r="73" spans="1:18" ht="14.5" hidden="1" thickBot="1" x14ac:dyDescent="0.35">
      <c r="A73" s="7"/>
      <c r="B73" s="7"/>
      <c r="C73" s="8"/>
      <c r="D73" s="7"/>
      <c r="E73" s="7"/>
      <c r="F73" s="7"/>
      <c r="G73" s="9"/>
      <c r="H73" s="9"/>
      <c r="I73" s="9"/>
      <c r="J73" s="9"/>
      <c r="K73" s="9"/>
      <c r="L73" s="9"/>
      <c r="M73" s="9"/>
      <c r="O73" s="10"/>
    </row>
    <row r="74" spans="1:18" ht="14.5" hidden="1" thickBot="1" x14ac:dyDescent="0.35">
      <c r="A74" s="7"/>
      <c r="B74" s="7"/>
      <c r="C74" s="7"/>
      <c r="D74" s="7"/>
      <c r="E74" s="7"/>
      <c r="F74" s="13" t="s">
        <v>13</v>
      </c>
      <c r="G74" s="14"/>
      <c r="H74" s="14"/>
      <c r="I74" s="14"/>
      <c r="J74" s="14"/>
      <c r="K74" s="14"/>
      <c r="L74" s="14"/>
      <c r="M74" s="15"/>
    </row>
    <row r="75" spans="1:18" ht="52" hidden="1" x14ac:dyDescent="0.3">
      <c r="A75" s="7"/>
      <c r="B75" s="7"/>
      <c r="C75" s="7"/>
      <c r="D75" s="7"/>
      <c r="E75" s="7"/>
      <c r="F75" s="16"/>
      <c r="G75" s="17" t="s">
        <v>6</v>
      </c>
      <c r="H75" s="18" t="s">
        <v>14</v>
      </c>
      <c r="I75" s="18" t="s">
        <v>15</v>
      </c>
      <c r="J75" s="18" t="s">
        <v>16</v>
      </c>
      <c r="K75" s="18" t="s">
        <v>10</v>
      </c>
      <c r="L75" s="18" t="s">
        <v>11</v>
      </c>
      <c r="M75" s="19" t="s">
        <v>17</v>
      </c>
    </row>
    <row r="76" spans="1:18" hidden="1" x14ac:dyDescent="0.3">
      <c r="A76" s="7"/>
      <c r="B76" s="7"/>
      <c r="C76" s="7"/>
      <c r="D76" s="7"/>
      <c r="E76" s="7"/>
      <c r="F76" s="20" t="s">
        <v>18</v>
      </c>
      <c r="G76" s="21">
        <f>G70-G77</f>
        <v>0</v>
      </c>
      <c r="H76" s="21">
        <f t="shared" ref="H76:L76" si="21">H70-H77</f>
        <v>537.04999999999973</v>
      </c>
      <c r="I76" s="21">
        <f t="shared" si="21"/>
        <v>55.400000000000006</v>
      </c>
      <c r="J76" s="21">
        <f t="shared" si="21"/>
        <v>0</v>
      </c>
      <c r="K76" s="21">
        <f t="shared" si="21"/>
        <v>165.19000000000005</v>
      </c>
      <c r="L76" s="21">
        <f t="shared" si="21"/>
        <v>16.170000000000002</v>
      </c>
      <c r="M76" s="21">
        <f>M70-M77</f>
        <v>773.8100000000004</v>
      </c>
    </row>
    <row r="77" spans="1:18" hidden="1" x14ac:dyDescent="0.3">
      <c r="A77" s="7"/>
      <c r="B77" s="7"/>
      <c r="C77" s="7"/>
      <c r="D77" s="7"/>
      <c r="E77" s="7"/>
      <c r="F77" s="20" t="s">
        <v>26</v>
      </c>
      <c r="G77" s="21">
        <f>G48+G69+G54+G67+G38</f>
        <v>1658.19</v>
      </c>
      <c r="H77" s="21">
        <f t="shared" ref="H77:M77" si="22">H48+H69+H54+H67+H38</f>
        <v>2102.86</v>
      </c>
      <c r="I77" s="21">
        <f t="shared" si="22"/>
        <v>230.77</v>
      </c>
      <c r="J77" s="21">
        <f t="shared" si="22"/>
        <v>0</v>
      </c>
      <c r="K77" s="21">
        <f t="shared" si="22"/>
        <v>1801.46</v>
      </c>
      <c r="L77" s="21">
        <f t="shared" si="22"/>
        <v>0</v>
      </c>
      <c r="M77" s="21">
        <f t="shared" si="22"/>
        <v>5793.28</v>
      </c>
    </row>
    <row r="78" spans="1:18" hidden="1" x14ac:dyDescent="0.3">
      <c r="A78" s="7"/>
      <c r="B78" s="7"/>
      <c r="C78" s="7"/>
      <c r="D78" s="7"/>
      <c r="E78" s="7"/>
      <c r="F78" s="22" t="s">
        <v>20</v>
      </c>
      <c r="G78" s="23">
        <f t="shared" ref="G78:L78" si="23">SUM(G76:G77)</f>
        <v>1658.19</v>
      </c>
      <c r="H78" s="23">
        <f t="shared" si="23"/>
        <v>2639.91</v>
      </c>
      <c r="I78" s="23">
        <f t="shared" si="23"/>
        <v>286.17</v>
      </c>
      <c r="J78" s="23">
        <f t="shared" si="23"/>
        <v>0</v>
      </c>
      <c r="K78" s="23">
        <f t="shared" si="23"/>
        <v>1966.65</v>
      </c>
      <c r="L78" s="23">
        <f t="shared" si="23"/>
        <v>16.170000000000002</v>
      </c>
      <c r="M78" s="24">
        <f>SUM(G78:L78)</f>
        <v>6567.09</v>
      </c>
      <c r="N78" s="25"/>
    </row>
    <row r="79" spans="1:18" hidden="1" x14ac:dyDescent="0.3">
      <c r="A79" s="7"/>
      <c r="B79" s="7"/>
      <c r="C79" s="7"/>
      <c r="D79" s="7"/>
      <c r="E79" s="7"/>
      <c r="F79" s="7"/>
      <c r="G79" s="9"/>
      <c r="H79" s="9"/>
      <c r="I79" s="9"/>
      <c r="J79" s="9"/>
      <c r="K79" s="9"/>
      <c r="L79" s="9"/>
      <c r="M79" s="9"/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8"/>
  <sheetViews>
    <sheetView zoomScaleNormal="100" workbookViewId="0">
      <pane xSplit="1" ySplit="2" topLeftCell="B22" activePane="bottomRight" state="frozen"/>
      <selection sqref="A1:XFD1048576"/>
      <selection pane="topRight" sqref="A1:XFD1048576"/>
      <selection pane="bottomLeft" sqref="A1:XFD1048576"/>
      <selection pane="bottomRight" activeCell="Y91" sqref="V91:Y92"/>
    </sheetView>
  </sheetViews>
  <sheetFormatPr defaultColWidth="9.1796875" defaultRowHeight="14" x14ac:dyDescent="0.3"/>
  <cols>
    <col min="1" max="1" width="13.453125" style="1" customWidth="1"/>
    <col min="2" max="2" width="29.81640625" style="1" customWidth="1"/>
    <col min="3" max="3" width="25.26953125" style="1" customWidth="1"/>
    <col min="4" max="4" width="33" style="1" customWidth="1"/>
    <col min="5" max="5" width="19.1796875" style="1" customWidth="1"/>
    <col min="6" max="6" width="23" style="1" customWidth="1"/>
    <col min="7" max="7" width="8.1796875" style="1" customWidth="1"/>
    <col min="8" max="8" width="9.1796875" style="1"/>
    <col min="9" max="9" width="10.7265625" style="1" customWidth="1"/>
    <col min="10" max="14" width="9.1796875" style="1"/>
    <col min="15" max="15" width="10" style="1" customWidth="1"/>
    <col min="16" max="18" width="9.1796875" style="1"/>
    <col min="19" max="19" width="17" style="1" customWidth="1"/>
    <col min="20" max="16384" width="9.1796875" style="1"/>
  </cols>
  <sheetData>
    <row r="1" spans="1:13" ht="22.5" x14ac:dyDescent="0.45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9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84" t="s">
        <v>6</v>
      </c>
      <c r="H2" s="84" t="s">
        <v>8</v>
      </c>
      <c r="I2" s="88" t="s">
        <v>58</v>
      </c>
      <c r="J2" s="84" t="s">
        <v>28</v>
      </c>
      <c r="K2" s="84" t="s">
        <v>57</v>
      </c>
      <c r="L2" s="84" t="s">
        <v>11</v>
      </c>
      <c r="M2" s="84" t="s">
        <v>12</v>
      </c>
    </row>
    <row r="3" spans="1:13" x14ac:dyDescent="0.3">
      <c r="A3" s="54" t="s">
        <v>41</v>
      </c>
      <c r="B3" s="54" t="s">
        <v>34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7" t="s">
        <v>41</v>
      </c>
      <c r="B4" s="39"/>
      <c r="C4" s="41"/>
      <c r="D4" s="42"/>
      <c r="E4" s="43"/>
      <c r="F4" s="39"/>
      <c r="G4" s="44">
        <f t="shared" ref="G4:M4" si="0">SUM(G3:G3)</f>
        <v>0</v>
      </c>
      <c r="H4" s="44">
        <f t="shared" si="0"/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">
      <c r="A5" s="35" t="s">
        <v>53</v>
      </c>
      <c r="B5" s="54" t="s">
        <v>34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7" t="s">
        <v>52</v>
      </c>
      <c r="B6" s="39"/>
      <c r="C6" s="41"/>
      <c r="D6" s="42"/>
      <c r="E6" s="43"/>
      <c r="F6" s="39"/>
      <c r="G6" s="44">
        <f t="shared" ref="G6:M6" si="1">SUM(G5:G5)</f>
        <v>0</v>
      </c>
      <c r="H6" s="44">
        <f t="shared" si="1"/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>
        <f t="shared" si="1"/>
        <v>0</v>
      </c>
    </row>
    <row r="7" spans="1:13" x14ac:dyDescent="0.3">
      <c r="A7" s="35" t="s">
        <v>54</v>
      </c>
      <c r="B7" s="54" t="s">
        <v>34</v>
      </c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7" t="s">
        <v>54</v>
      </c>
      <c r="B8" s="39"/>
      <c r="C8" s="41"/>
      <c r="D8" s="42"/>
      <c r="E8" s="43"/>
      <c r="F8" s="39"/>
      <c r="G8" s="44">
        <f t="shared" ref="G8:M8" si="2">SUM(G7:G7)</f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44">
        <f t="shared" si="2"/>
        <v>0</v>
      </c>
    </row>
    <row r="9" spans="1:13" x14ac:dyDescent="0.3">
      <c r="A9" s="35" t="s">
        <v>40</v>
      </c>
      <c r="B9" s="54" t="s">
        <v>34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 t="shared" ref="M9" si="3">SUM(G9:L9)</f>
        <v>0</v>
      </c>
    </row>
    <row r="10" spans="1:13" x14ac:dyDescent="0.3">
      <c r="A10" s="47" t="s">
        <v>40</v>
      </c>
      <c r="B10" s="39"/>
      <c r="C10" s="41"/>
      <c r="D10" s="42"/>
      <c r="E10" s="43"/>
      <c r="F10" s="39"/>
      <c r="G10" s="44">
        <f t="shared" ref="G10:M10" si="4">SUM(G9:G9)</f>
        <v>0</v>
      </c>
      <c r="H10" s="44">
        <f t="shared" si="4"/>
        <v>0</v>
      </c>
      <c r="I10" s="44">
        <f t="shared" si="4"/>
        <v>0</v>
      </c>
      <c r="J10" s="44">
        <f t="shared" si="4"/>
        <v>0</v>
      </c>
      <c r="K10" s="44">
        <f t="shared" si="4"/>
        <v>0</v>
      </c>
      <c r="L10" s="44">
        <f t="shared" si="4"/>
        <v>0</v>
      </c>
      <c r="M10" s="44">
        <f t="shared" si="4"/>
        <v>0</v>
      </c>
    </row>
    <row r="11" spans="1:13" x14ac:dyDescent="0.3">
      <c r="A11" s="35" t="s">
        <v>38</v>
      </c>
      <c r="B11" s="54" t="s">
        <v>34</v>
      </c>
      <c r="C11" s="36">
        <v>45265</v>
      </c>
      <c r="D11" s="95" t="s">
        <v>132</v>
      </c>
      <c r="E11" s="36">
        <v>45244</v>
      </c>
      <c r="F11" s="37" t="s">
        <v>133</v>
      </c>
      <c r="G11" s="38"/>
      <c r="H11" s="38"/>
      <c r="I11" s="38">
        <v>18.45</v>
      </c>
      <c r="J11" s="38"/>
      <c r="K11" s="38">
        <v>7.5</v>
      </c>
      <c r="L11" s="38"/>
      <c r="M11" s="38">
        <f t="shared" ref="M11" si="5">SUM(G11:L11)</f>
        <v>25.95</v>
      </c>
    </row>
    <row r="12" spans="1:13" x14ac:dyDescent="0.3">
      <c r="A12" s="35"/>
      <c r="B12" s="54"/>
      <c r="C12" s="36"/>
      <c r="D12" s="36"/>
      <c r="E12" s="36"/>
      <c r="F12" s="37"/>
      <c r="G12" s="38"/>
      <c r="H12" s="38"/>
      <c r="I12" s="38"/>
      <c r="J12" s="38"/>
      <c r="K12" s="38"/>
      <c r="L12" s="38"/>
      <c r="M12" s="38"/>
    </row>
    <row r="13" spans="1:13" x14ac:dyDescent="0.3">
      <c r="A13" s="47" t="s">
        <v>38</v>
      </c>
      <c r="B13" s="39"/>
      <c r="C13" s="41"/>
      <c r="D13" s="42"/>
      <c r="E13" s="43"/>
      <c r="F13" s="39"/>
      <c r="G13" s="44">
        <f t="shared" ref="G13:M13" si="6">SUM(G11:G11)</f>
        <v>0</v>
      </c>
      <c r="H13" s="44">
        <f t="shared" si="6"/>
        <v>0</v>
      </c>
      <c r="I13" s="44">
        <f t="shared" si="6"/>
        <v>18.45</v>
      </c>
      <c r="J13" s="44">
        <f t="shared" si="6"/>
        <v>0</v>
      </c>
      <c r="K13" s="44">
        <f t="shared" si="6"/>
        <v>7.5</v>
      </c>
      <c r="L13" s="44">
        <f t="shared" si="6"/>
        <v>0</v>
      </c>
      <c r="M13" s="44">
        <f t="shared" si="6"/>
        <v>25.95</v>
      </c>
    </row>
    <row r="14" spans="1:13" x14ac:dyDescent="0.3">
      <c r="A14" s="35" t="s">
        <v>55</v>
      </c>
      <c r="B14" s="35" t="s">
        <v>34</v>
      </c>
      <c r="C14" s="36">
        <v>45259</v>
      </c>
      <c r="D14" s="35" t="s">
        <v>134</v>
      </c>
      <c r="E14" s="36">
        <v>45220</v>
      </c>
      <c r="F14" s="37" t="s">
        <v>35</v>
      </c>
      <c r="G14" s="38"/>
      <c r="H14" s="38">
        <v>288.39999999999998</v>
      </c>
      <c r="I14" s="38">
        <v>13.45</v>
      </c>
      <c r="J14" s="38"/>
      <c r="K14" s="38">
        <v>7.99</v>
      </c>
      <c r="L14" s="38"/>
      <c r="M14" s="38">
        <f t="shared" ref="M14" si="7">SUM(G14:L14)</f>
        <v>309.83999999999997</v>
      </c>
    </row>
    <row r="15" spans="1:13" x14ac:dyDescent="0.3">
      <c r="A15" s="35"/>
      <c r="B15" s="35"/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/>
    </row>
    <row r="16" spans="1:13" x14ac:dyDescent="0.3">
      <c r="A16" s="47" t="s">
        <v>55</v>
      </c>
      <c r="B16" s="39"/>
      <c r="C16" s="41"/>
      <c r="D16" s="42"/>
      <c r="E16" s="43"/>
      <c r="F16" s="39"/>
      <c r="G16" s="44">
        <f t="shared" ref="G16:M16" si="8">SUM(G14:G14)</f>
        <v>0</v>
      </c>
      <c r="H16" s="44">
        <f t="shared" si="8"/>
        <v>288.39999999999998</v>
      </c>
      <c r="I16" s="44">
        <f t="shared" si="8"/>
        <v>13.45</v>
      </c>
      <c r="J16" s="44">
        <f t="shared" si="8"/>
        <v>0</v>
      </c>
      <c r="K16" s="44">
        <f t="shared" si="8"/>
        <v>7.99</v>
      </c>
      <c r="L16" s="44">
        <f t="shared" si="8"/>
        <v>0</v>
      </c>
      <c r="M16" s="44">
        <f t="shared" si="8"/>
        <v>309.83999999999997</v>
      </c>
    </row>
    <row r="17" spans="1:13" x14ac:dyDescent="0.3">
      <c r="A17" s="35" t="s">
        <v>36</v>
      </c>
      <c r="B17" s="35" t="s">
        <v>34</v>
      </c>
      <c r="C17" s="36">
        <v>45204</v>
      </c>
      <c r="D17" s="35" t="s">
        <v>134</v>
      </c>
      <c r="E17" s="36">
        <v>45220</v>
      </c>
      <c r="F17" s="37" t="s">
        <v>35</v>
      </c>
      <c r="G17" s="38"/>
      <c r="H17" s="38">
        <v>64.900000000000006</v>
      </c>
      <c r="I17" s="38"/>
      <c r="J17" s="38"/>
      <c r="K17" s="38"/>
      <c r="L17" s="38"/>
      <c r="M17" s="38">
        <f>SUM(G17:L17)</f>
        <v>64.900000000000006</v>
      </c>
    </row>
    <row r="18" spans="1:13" x14ac:dyDescent="0.3">
      <c r="A18" s="35"/>
      <c r="B18" s="35"/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/>
    </row>
    <row r="19" spans="1:13" x14ac:dyDescent="0.3">
      <c r="A19" s="47" t="s">
        <v>36</v>
      </c>
      <c r="B19" s="39"/>
      <c r="C19" s="41"/>
      <c r="D19" s="42"/>
      <c r="E19" s="43"/>
      <c r="F19" s="39"/>
      <c r="G19" s="44">
        <f t="shared" ref="G19:M19" si="9">SUM(G17:G17)</f>
        <v>0</v>
      </c>
      <c r="H19" s="44">
        <f t="shared" si="9"/>
        <v>64.900000000000006</v>
      </c>
      <c r="I19" s="44">
        <f t="shared" si="9"/>
        <v>0</v>
      </c>
      <c r="J19" s="44">
        <f t="shared" si="9"/>
        <v>0</v>
      </c>
      <c r="K19" s="44">
        <f t="shared" si="9"/>
        <v>0</v>
      </c>
      <c r="L19" s="44">
        <f t="shared" si="9"/>
        <v>0</v>
      </c>
      <c r="M19" s="44">
        <f t="shared" si="9"/>
        <v>64.900000000000006</v>
      </c>
    </row>
    <row r="20" spans="1:13" x14ac:dyDescent="0.3">
      <c r="A20" s="35" t="s">
        <v>56</v>
      </c>
      <c r="B20" s="35" t="s">
        <v>34</v>
      </c>
      <c r="C20" s="36">
        <v>45219</v>
      </c>
      <c r="D20" s="35" t="s">
        <v>134</v>
      </c>
      <c r="E20" s="36">
        <v>45220</v>
      </c>
      <c r="F20" s="37" t="s">
        <v>35</v>
      </c>
      <c r="G20" s="38"/>
      <c r="H20" s="38">
        <f>53.65+4.7</f>
        <v>58.35</v>
      </c>
      <c r="I20" s="38"/>
      <c r="J20" s="38"/>
      <c r="K20" s="38">
        <v>76.989999999999995</v>
      </c>
      <c r="L20" s="38"/>
      <c r="M20" s="38">
        <f>SUM(G20:L20)</f>
        <v>135.34</v>
      </c>
    </row>
    <row r="21" spans="1:13" x14ac:dyDescent="0.3">
      <c r="A21" s="35"/>
      <c r="B21" s="35"/>
      <c r="C21" s="36"/>
      <c r="D21" s="36"/>
      <c r="E21" s="36"/>
      <c r="F21" s="37"/>
      <c r="G21" s="38"/>
      <c r="H21" s="38"/>
      <c r="I21" s="38"/>
      <c r="J21" s="38"/>
      <c r="K21" s="38"/>
      <c r="L21" s="38"/>
      <c r="M21" s="38"/>
    </row>
    <row r="22" spans="1:13" x14ac:dyDescent="0.3">
      <c r="A22" s="47" t="s">
        <v>56</v>
      </c>
      <c r="B22" s="39"/>
      <c r="C22" s="41"/>
      <c r="D22" s="42"/>
      <c r="E22" s="43"/>
      <c r="F22" s="39"/>
      <c r="G22" s="44">
        <f t="shared" ref="G22:M22" si="10">SUM(G20:G20)</f>
        <v>0</v>
      </c>
      <c r="H22" s="44">
        <f t="shared" si="10"/>
        <v>58.35</v>
      </c>
      <c r="I22" s="44">
        <f t="shared" si="10"/>
        <v>0</v>
      </c>
      <c r="J22" s="44">
        <f t="shared" si="10"/>
        <v>0</v>
      </c>
      <c r="K22" s="44">
        <f t="shared" si="10"/>
        <v>76.989999999999995</v>
      </c>
      <c r="L22" s="44">
        <f t="shared" si="10"/>
        <v>0</v>
      </c>
      <c r="M22" s="44">
        <f t="shared" si="10"/>
        <v>135.34</v>
      </c>
    </row>
    <row r="23" spans="1:13" x14ac:dyDescent="0.3">
      <c r="A23" s="35" t="s">
        <v>44</v>
      </c>
      <c r="B23" s="35" t="s">
        <v>60</v>
      </c>
      <c r="C23" s="36">
        <v>45247</v>
      </c>
      <c r="D23" s="35" t="s">
        <v>135</v>
      </c>
      <c r="E23" s="36">
        <v>45219</v>
      </c>
      <c r="F23" s="37" t="s">
        <v>35</v>
      </c>
      <c r="G23" s="38"/>
      <c r="H23" s="38">
        <v>98.1</v>
      </c>
      <c r="I23" s="38">
        <v>3.9</v>
      </c>
      <c r="J23" s="38"/>
      <c r="K23" s="38"/>
      <c r="L23" s="38"/>
      <c r="M23" s="38">
        <f t="shared" ref="M23:M28" si="11">SUM(G23:L23)</f>
        <v>102</v>
      </c>
    </row>
    <row r="24" spans="1:13" x14ac:dyDescent="0.3">
      <c r="A24" s="35" t="s">
        <v>44</v>
      </c>
      <c r="B24" s="35" t="s">
        <v>60</v>
      </c>
      <c r="C24" s="36">
        <v>45247</v>
      </c>
      <c r="D24" s="35" t="s">
        <v>124</v>
      </c>
      <c r="E24" s="36">
        <v>45245</v>
      </c>
      <c r="F24" s="37" t="s">
        <v>35</v>
      </c>
      <c r="G24" s="38"/>
      <c r="H24" s="38">
        <v>90.7</v>
      </c>
      <c r="I24" s="38">
        <v>3.9</v>
      </c>
      <c r="J24" s="38"/>
      <c r="K24" s="38"/>
      <c r="L24" s="38"/>
      <c r="M24" s="38">
        <f t="shared" si="11"/>
        <v>94.600000000000009</v>
      </c>
    </row>
    <row r="25" spans="1:13" x14ac:dyDescent="0.3">
      <c r="A25" s="35" t="s">
        <v>44</v>
      </c>
      <c r="B25" s="35" t="s">
        <v>60</v>
      </c>
      <c r="C25" s="36">
        <v>45247</v>
      </c>
      <c r="D25" s="35" t="s">
        <v>124</v>
      </c>
      <c r="E25" s="36">
        <v>45246</v>
      </c>
      <c r="F25" s="37" t="s">
        <v>35</v>
      </c>
      <c r="G25" s="38"/>
      <c r="H25" s="38">
        <v>90.7</v>
      </c>
      <c r="I25" s="38">
        <v>3.9</v>
      </c>
      <c r="J25" s="38"/>
      <c r="K25" s="38"/>
      <c r="L25" s="38"/>
      <c r="M25" s="38">
        <f t="shared" si="11"/>
        <v>94.600000000000009</v>
      </c>
    </row>
    <row r="26" spans="1:13" x14ac:dyDescent="0.3">
      <c r="A26" s="35" t="s">
        <v>44</v>
      </c>
      <c r="B26" s="35" t="s">
        <v>60</v>
      </c>
      <c r="C26" s="36">
        <v>45247</v>
      </c>
      <c r="D26" s="35" t="s">
        <v>123</v>
      </c>
      <c r="E26" s="36">
        <v>45247</v>
      </c>
      <c r="F26" s="37" t="s">
        <v>126</v>
      </c>
      <c r="G26" s="38"/>
      <c r="H26" s="38"/>
      <c r="I26" s="38"/>
      <c r="J26" s="38"/>
      <c r="K26" s="38"/>
      <c r="L26" s="38">
        <v>14.7</v>
      </c>
      <c r="M26" s="38">
        <f t="shared" si="11"/>
        <v>14.7</v>
      </c>
    </row>
    <row r="27" spans="1:13" x14ac:dyDescent="0.3">
      <c r="A27" s="35" t="s">
        <v>44</v>
      </c>
      <c r="B27" s="35" t="s">
        <v>60</v>
      </c>
      <c r="C27" s="36">
        <v>45274</v>
      </c>
      <c r="D27" s="35" t="s">
        <v>127</v>
      </c>
      <c r="E27" s="36">
        <v>45275</v>
      </c>
      <c r="F27" s="37" t="s">
        <v>35</v>
      </c>
      <c r="G27" s="38"/>
      <c r="H27" s="38">
        <v>90.7</v>
      </c>
      <c r="I27" s="38"/>
      <c r="J27" s="38"/>
      <c r="K27" s="38"/>
      <c r="L27" s="38"/>
      <c r="M27" s="38">
        <f t="shared" si="11"/>
        <v>90.7</v>
      </c>
    </row>
    <row r="28" spans="1:13" x14ac:dyDescent="0.3">
      <c r="A28" s="35"/>
      <c r="B28" s="35"/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>
        <f t="shared" si="11"/>
        <v>0</v>
      </c>
    </row>
    <row r="29" spans="1:13" x14ac:dyDescent="0.3">
      <c r="A29" s="47" t="s">
        <v>44</v>
      </c>
      <c r="B29" s="39"/>
      <c r="C29" s="41"/>
      <c r="D29" s="42"/>
      <c r="E29" s="43"/>
      <c r="F29" s="39"/>
      <c r="G29" s="44">
        <f t="shared" ref="G29:M29" si="12">SUM(G23:G28)</f>
        <v>0</v>
      </c>
      <c r="H29" s="44">
        <f t="shared" si="12"/>
        <v>370.2</v>
      </c>
      <c r="I29" s="44">
        <f t="shared" si="12"/>
        <v>11.7</v>
      </c>
      <c r="J29" s="44">
        <f t="shared" si="12"/>
        <v>0</v>
      </c>
      <c r="K29" s="44">
        <f t="shared" si="12"/>
        <v>0</v>
      </c>
      <c r="L29" s="44">
        <f t="shared" si="12"/>
        <v>14.7</v>
      </c>
      <c r="M29" s="44">
        <f t="shared" si="12"/>
        <v>396.6</v>
      </c>
    </row>
    <row r="30" spans="1:13" x14ac:dyDescent="0.3">
      <c r="A30" s="35" t="s">
        <v>50</v>
      </c>
      <c r="B30" s="35" t="s">
        <v>60</v>
      </c>
      <c r="C30" s="36">
        <v>45267</v>
      </c>
      <c r="D30" s="35" t="s">
        <v>124</v>
      </c>
      <c r="E30" s="36">
        <v>45198</v>
      </c>
      <c r="F30" s="37" t="s">
        <v>35</v>
      </c>
      <c r="G30" s="38"/>
      <c r="H30" s="38"/>
      <c r="I30" s="38"/>
      <c r="J30" s="38"/>
      <c r="K30" s="38">
        <v>7.5</v>
      </c>
      <c r="L30" s="38"/>
      <c r="M30" s="38">
        <f t="shared" ref="M30:M35" si="13">SUM(G30:L30)</f>
        <v>7.5</v>
      </c>
    </row>
    <row r="31" spans="1:13" x14ac:dyDescent="0.3">
      <c r="A31" s="35" t="s">
        <v>50</v>
      </c>
      <c r="B31" s="35" t="s">
        <v>60</v>
      </c>
      <c r="C31" s="36">
        <v>45200</v>
      </c>
      <c r="D31" s="35" t="s">
        <v>129</v>
      </c>
      <c r="E31" s="36">
        <v>45200</v>
      </c>
      <c r="F31" s="37" t="s">
        <v>126</v>
      </c>
      <c r="G31" s="38"/>
      <c r="H31" s="38">
        <v>-39.799999999999997</v>
      </c>
      <c r="I31" s="38"/>
      <c r="J31" s="38"/>
      <c r="K31" s="38"/>
      <c r="L31" s="38"/>
      <c r="M31" s="38">
        <f>SUM(G31:L31)</f>
        <v>-39.799999999999997</v>
      </c>
    </row>
    <row r="32" spans="1:13" x14ac:dyDescent="0.3">
      <c r="A32" s="35" t="s">
        <v>50</v>
      </c>
      <c r="B32" s="35" t="s">
        <v>60</v>
      </c>
      <c r="C32" s="36">
        <v>45232</v>
      </c>
      <c r="D32" s="35" t="s">
        <v>124</v>
      </c>
      <c r="E32" s="36">
        <v>45246</v>
      </c>
      <c r="F32" s="37" t="s">
        <v>35</v>
      </c>
      <c r="G32" s="38"/>
      <c r="H32" s="38">
        <v>54.8</v>
      </c>
      <c r="I32" s="38"/>
      <c r="J32" s="38"/>
      <c r="K32" s="38"/>
      <c r="L32" s="38"/>
      <c r="M32" s="38">
        <f>SUM(G32:L32)</f>
        <v>54.8</v>
      </c>
    </row>
    <row r="33" spans="1:13" x14ac:dyDescent="0.3">
      <c r="A33" s="35" t="s">
        <v>50</v>
      </c>
      <c r="B33" s="35" t="s">
        <v>60</v>
      </c>
      <c r="C33" s="36">
        <v>45229</v>
      </c>
      <c r="D33" s="35" t="s">
        <v>134</v>
      </c>
      <c r="E33" s="36">
        <v>45267</v>
      </c>
      <c r="F33" s="37" t="s">
        <v>35</v>
      </c>
      <c r="G33" s="38"/>
      <c r="H33" s="38">
        <v>54.8</v>
      </c>
      <c r="I33" s="38"/>
      <c r="J33" s="38"/>
      <c r="K33" s="38"/>
      <c r="L33" s="38"/>
      <c r="M33" s="38">
        <f>SUM(G33:L33)</f>
        <v>54.8</v>
      </c>
    </row>
    <row r="34" spans="1:13" x14ac:dyDescent="0.3">
      <c r="A34" s="35" t="s">
        <v>50</v>
      </c>
      <c r="B34" s="35" t="s">
        <v>60</v>
      </c>
      <c r="C34" s="36">
        <v>45229</v>
      </c>
      <c r="D34" s="35" t="s">
        <v>120</v>
      </c>
      <c r="E34" s="36">
        <v>45275</v>
      </c>
      <c r="F34" s="37" t="s">
        <v>35</v>
      </c>
      <c r="G34" s="38"/>
      <c r="H34" s="38">
        <v>54.8</v>
      </c>
      <c r="I34" s="38"/>
      <c r="J34" s="38"/>
      <c r="K34" s="38"/>
      <c r="L34" s="38"/>
      <c r="M34" s="38">
        <f t="shared" si="13"/>
        <v>54.8</v>
      </c>
    </row>
    <row r="35" spans="1:13" x14ac:dyDescent="0.3">
      <c r="A35" s="35"/>
      <c r="B35" s="35"/>
      <c r="C35" s="36"/>
      <c r="D35" s="35"/>
      <c r="E35" s="36"/>
      <c r="F35" s="37"/>
      <c r="G35" s="38"/>
      <c r="H35" s="38"/>
      <c r="I35" s="38"/>
      <c r="J35" s="38"/>
      <c r="K35" s="38"/>
      <c r="L35" s="38"/>
      <c r="M35" s="38">
        <f t="shared" si="13"/>
        <v>0</v>
      </c>
    </row>
    <row r="36" spans="1:13" x14ac:dyDescent="0.3">
      <c r="A36" s="47" t="s">
        <v>50</v>
      </c>
      <c r="B36" s="39"/>
      <c r="C36" s="41"/>
      <c r="D36" s="42"/>
      <c r="E36" s="43"/>
      <c r="F36" s="39"/>
      <c r="G36" s="44">
        <f t="shared" ref="G36:M36" si="14">SUM(G30:G35)</f>
        <v>0</v>
      </c>
      <c r="H36" s="44">
        <f t="shared" si="14"/>
        <v>124.6</v>
      </c>
      <c r="I36" s="44">
        <f t="shared" si="14"/>
        <v>0</v>
      </c>
      <c r="J36" s="44">
        <f t="shared" si="14"/>
        <v>0</v>
      </c>
      <c r="K36" s="44">
        <f t="shared" si="14"/>
        <v>7.5</v>
      </c>
      <c r="L36" s="44">
        <f t="shared" si="14"/>
        <v>0</v>
      </c>
      <c r="M36" s="44">
        <f t="shared" si="14"/>
        <v>132.1</v>
      </c>
    </row>
    <row r="37" spans="1:13" x14ac:dyDescent="0.3">
      <c r="A37" s="35" t="s">
        <v>59</v>
      </c>
      <c r="B37" s="35" t="s">
        <v>60</v>
      </c>
      <c r="C37" s="36">
        <v>45200</v>
      </c>
      <c r="D37" s="35" t="s">
        <v>129</v>
      </c>
      <c r="E37" s="36" t="s">
        <v>130</v>
      </c>
      <c r="F37" s="37" t="s">
        <v>35</v>
      </c>
      <c r="G37" s="38"/>
      <c r="H37" s="38">
        <f>-476.4-520.6+369.4</f>
        <v>-627.6</v>
      </c>
      <c r="I37" s="38"/>
      <c r="J37" s="38"/>
      <c r="K37" s="38"/>
      <c r="L37" s="38"/>
      <c r="M37" s="38">
        <f>SUM(G37:L37)</f>
        <v>-627.6</v>
      </c>
    </row>
    <row r="38" spans="1:13" x14ac:dyDescent="0.3">
      <c r="A38" s="35" t="s">
        <v>59</v>
      </c>
      <c r="B38" s="35" t="s">
        <v>60</v>
      </c>
      <c r="C38" s="36">
        <v>45267</v>
      </c>
      <c r="D38" s="35" t="s">
        <v>124</v>
      </c>
      <c r="E38" s="36">
        <v>45245</v>
      </c>
      <c r="F38" s="37" t="s">
        <v>35</v>
      </c>
      <c r="G38" s="38"/>
      <c r="H38" s="38">
        <v>275.3</v>
      </c>
      <c r="I38" s="38"/>
      <c r="J38" s="38"/>
      <c r="K38" s="38">
        <f>23.2+148.5</f>
        <v>171.7</v>
      </c>
      <c r="L38" s="38"/>
      <c r="M38" s="38">
        <f t="shared" ref="M38" si="15">SUM(G38:L38)</f>
        <v>447</v>
      </c>
    </row>
    <row r="39" spans="1:13" x14ac:dyDescent="0.3">
      <c r="A39" s="35" t="s">
        <v>59</v>
      </c>
      <c r="B39" s="35" t="s">
        <v>60</v>
      </c>
      <c r="C39" s="36">
        <v>45272</v>
      </c>
      <c r="D39" s="35" t="s">
        <v>125</v>
      </c>
      <c r="E39" s="36" t="s">
        <v>126</v>
      </c>
      <c r="F39" s="37" t="s">
        <v>126</v>
      </c>
      <c r="G39" s="38"/>
      <c r="H39" s="38"/>
      <c r="I39" s="38"/>
      <c r="J39" s="38"/>
      <c r="K39" s="38"/>
      <c r="L39" s="38">
        <v>249</v>
      </c>
      <c r="M39" s="38">
        <f t="shared" ref="M39:M42" si="16">SUM(G39:L39)</f>
        <v>249</v>
      </c>
    </row>
    <row r="40" spans="1:13" x14ac:dyDescent="0.3">
      <c r="A40" s="35" t="s">
        <v>59</v>
      </c>
      <c r="B40" s="35" t="s">
        <v>60</v>
      </c>
      <c r="C40" s="36">
        <v>45233</v>
      </c>
      <c r="D40" s="35" t="s">
        <v>134</v>
      </c>
      <c r="E40" s="36">
        <v>45267</v>
      </c>
      <c r="F40" s="37" t="s">
        <v>35</v>
      </c>
      <c r="G40" s="38"/>
      <c r="H40" s="38">
        <v>275.3</v>
      </c>
      <c r="I40" s="38"/>
      <c r="J40" s="38"/>
      <c r="K40" s="38"/>
      <c r="L40" s="38"/>
      <c r="M40" s="38"/>
    </row>
    <row r="41" spans="1:13" x14ac:dyDescent="0.3">
      <c r="A41" s="35" t="s">
        <v>59</v>
      </c>
      <c r="B41" s="35" t="s">
        <v>60</v>
      </c>
      <c r="C41" s="36">
        <v>45279</v>
      </c>
      <c r="D41" s="35" t="s">
        <v>127</v>
      </c>
      <c r="E41" s="36">
        <v>45275</v>
      </c>
      <c r="F41" s="37" t="s">
        <v>35</v>
      </c>
      <c r="G41" s="38"/>
      <c r="H41" s="38">
        <v>154.1</v>
      </c>
      <c r="I41" s="38"/>
      <c r="J41" s="38"/>
      <c r="K41" s="38">
        <f>23.85+89.55</f>
        <v>113.4</v>
      </c>
      <c r="L41" s="38"/>
      <c r="M41" s="38">
        <f t="shared" si="16"/>
        <v>267.5</v>
      </c>
    </row>
    <row r="42" spans="1:13" x14ac:dyDescent="0.3">
      <c r="A42" s="35"/>
      <c r="B42" s="35"/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16"/>
        <v>0</v>
      </c>
    </row>
    <row r="43" spans="1:13" x14ac:dyDescent="0.3">
      <c r="A43" s="47" t="s">
        <v>59</v>
      </c>
      <c r="B43" s="39"/>
      <c r="C43" s="41"/>
      <c r="D43" s="42"/>
      <c r="E43" s="43"/>
      <c r="F43" s="39"/>
      <c r="G43" s="44">
        <f t="shared" ref="G43:M43" si="17">SUM(G37:G42)</f>
        <v>0</v>
      </c>
      <c r="H43" s="44">
        <f t="shared" si="17"/>
        <v>77.099999999999994</v>
      </c>
      <c r="I43" s="44">
        <f t="shared" si="17"/>
        <v>0</v>
      </c>
      <c r="J43" s="44">
        <f t="shared" si="17"/>
        <v>0</v>
      </c>
      <c r="K43" s="44">
        <f t="shared" si="17"/>
        <v>285.10000000000002</v>
      </c>
      <c r="L43" s="44">
        <f t="shared" si="17"/>
        <v>249</v>
      </c>
      <c r="M43" s="44">
        <f t="shared" si="17"/>
        <v>335.9</v>
      </c>
    </row>
    <row r="44" spans="1:13" x14ac:dyDescent="0.3">
      <c r="A44" s="35" t="s">
        <v>61</v>
      </c>
      <c r="B44" s="35" t="s">
        <v>60</v>
      </c>
      <c r="C44" s="36">
        <v>45224</v>
      </c>
      <c r="D44" s="35" t="s">
        <v>39</v>
      </c>
      <c r="E44" s="36">
        <v>45195</v>
      </c>
      <c r="F44" s="37" t="s">
        <v>35</v>
      </c>
      <c r="G44" s="38"/>
      <c r="H44" s="38"/>
      <c r="I44" s="38">
        <f>60+10.34</f>
        <v>70.34</v>
      </c>
      <c r="J44" s="38"/>
      <c r="K44" s="38">
        <f>81.15-10.34</f>
        <v>70.81</v>
      </c>
      <c r="L44" s="38"/>
      <c r="M44" s="38">
        <f t="shared" ref="M44:M50" si="18">SUM(G44:L44)</f>
        <v>141.15</v>
      </c>
    </row>
    <row r="45" spans="1:13" x14ac:dyDescent="0.3">
      <c r="A45" s="35" t="s">
        <v>61</v>
      </c>
      <c r="B45" s="35" t="s">
        <v>60</v>
      </c>
      <c r="C45" s="36">
        <v>45224</v>
      </c>
      <c r="D45" s="35" t="s">
        <v>122</v>
      </c>
      <c r="E45" s="36">
        <v>45196</v>
      </c>
      <c r="F45" s="37" t="s">
        <v>35</v>
      </c>
      <c r="G45" s="38"/>
      <c r="H45" s="38">
        <v>13.8</v>
      </c>
      <c r="I45" s="38">
        <v>10.35</v>
      </c>
      <c r="J45" s="38"/>
      <c r="K45" s="38"/>
      <c r="L45" s="38"/>
      <c r="M45" s="38">
        <f t="shared" si="18"/>
        <v>24.15</v>
      </c>
    </row>
    <row r="46" spans="1:13" x14ac:dyDescent="0.3">
      <c r="A46" s="35" t="s">
        <v>61</v>
      </c>
      <c r="B46" s="35" t="s">
        <v>60</v>
      </c>
      <c r="C46" s="36">
        <v>45216</v>
      </c>
      <c r="D46" s="35" t="s">
        <v>124</v>
      </c>
      <c r="E46" s="36">
        <v>45216</v>
      </c>
      <c r="F46" s="37" t="s">
        <v>35</v>
      </c>
      <c r="G46" s="38"/>
      <c r="H46" s="38"/>
      <c r="I46" s="38"/>
      <c r="J46" s="38"/>
      <c r="K46" s="38">
        <v>183.89</v>
      </c>
      <c r="L46" s="38"/>
      <c r="M46" s="38">
        <f t="shared" si="18"/>
        <v>183.89</v>
      </c>
    </row>
    <row r="47" spans="1:13" x14ac:dyDescent="0.3">
      <c r="A47" s="35" t="s">
        <v>61</v>
      </c>
      <c r="B47" s="35" t="s">
        <v>60</v>
      </c>
      <c r="C47" s="36">
        <v>45237</v>
      </c>
      <c r="D47" s="35" t="s">
        <v>124</v>
      </c>
      <c r="E47" s="36">
        <v>45245</v>
      </c>
      <c r="F47" s="37" t="s">
        <v>35</v>
      </c>
      <c r="G47" s="38">
        <v>443.91</v>
      </c>
      <c r="H47" s="38"/>
      <c r="I47" s="38"/>
      <c r="J47" s="38"/>
      <c r="K47" s="38">
        <v>313</v>
      </c>
      <c r="L47" s="38"/>
      <c r="M47" s="38">
        <f t="shared" si="18"/>
        <v>756.91000000000008</v>
      </c>
    </row>
    <row r="48" spans="1:13" x14ac:dyDescent="0.3">
      <c r="A48" s="35" t="s">
        <v>61</v>
      </c>
      <c r="B48" s="35" t="s">
        <v>60</v>
      </c>
      <c r="C48" s="36">
        <v>45259</v>
      </c>
      <c r="D48" s="35" t="s">
        <v>136</v>
      </c>
      <c r="E48" s="36" t="s">
        <v>137</v>
      </c>
      <c r="F48" s="37" t="s">
        <v>35</v>
      </c>
      <c r="G48" s="38">
        <v>401.91</v>
      </c>
      <c r="H48" s="38"/>
      <c r="I48" s="38">
        <v>76.13</v>
      </c>
      <c r="J48" s="38"/>
      <c r="K48" s="38">
        <v>204.6</v>
      </c>
      <c r="L48" s="38"/>
      <c r="M48" s="38">
        <f t="shared" si="18"/>
        <v>682.64</v>
      </c>
    </row>
    <row r="49" spans="1:18" x14ac:dyDescent="0.3">
      <c r="A49" s="35" t="s">
        <v>61</v>
      </c>
      <c r="B49" s="35" t="s">
        <v>60</v>
      </c>
      <c r="C49" s="36">
        <v>45266</v>
      </c>
      <c r="D49" s="35" t="s">
        <v>131</v>
      </c>
      <c r="E49" s="36">
        <v>45275</v>
      </c>
      <c r="F49" s="37" t="s">
        <v>35</v>
      </c>
      <c r="G49" s="38">
        <v>349.91</v>
      </c>
      <c r="H49" s="38"/>
      <c r="I49" s="38">
        <v>52.12</v>
      </c>
      <c r="J49" s="38"/>
      <c r="K49" s="38">
        <v>102.3</v>
      </c>
      <c r="L49" s="38"/>
      <c r="M49" s="38">
        <f t="shared" si="18"/>
        <v>504.33000000000004</v>
      </c>
    </row>
    <row r="50" spans="1:18" x14ac:dyDescent="0.3">
      <c r="A50" s="35"/>
      <c r="B50" s="35"/>
      <c r="C50" s="36"/>
      <c r="D50" s="35"/>
      <c r="E50" s="36"/>
      <c r="F50" s="37"/>
      <c r="G50" s="38"/>
      <c r="H50" s="38"/>
      <c r="I50" s="38"/>
      <c r="J50" s="38"/>
      <c r="K50" s="38"/>
      <c r="L50" s="38"/>
      <c r="M50" s="38">
        <f t="shared" si="18"/>
        <v>0</v>
      </c>
    </row>
    <row r="51" spans="1:18" x14ac:dyDescent="0.3">
      <c r="A51" s="47" t="s">
        <v>61</v>
      </c>
      <c r="B51" s="39"/>
      <c r="C51" s="41"/>
      <c r="D51" s="42"/>
      <c r="E51" s="43"/>
      <c r="F51" s="39"/>
      <c r="G51" s="44">
        <f t="shared" ref="G51:M51" si="19">SUM(G44:G50)</f>
        <v>1195.73</v>
      </c>
      <c r="H51" s="44">
        <f t="shared" si="19"/>
        <v>13.8</v>
      </c>
      <c r="I51" s="44">
        <f t="shared" si="19"/>
        <v>208.94</v>
      </c>
      <c r="J51" s="44">
        <f t="shared" si="19"/>
        <v>0</v>
      </c>
      <c r="K51" s="44">
        <f t="shared" si="19"/>
        <v>874.6</v>
      </c>
      <c r="L51" s="44">
        <f t="shared" si="19"/>
        <v>0</v>
      </c>
      <c r="M51" s="44">
        <f t="shared" si="19"/>
        <v>2293.0700000000002</v>
      </c>
    </row>
    <row r="52" spans="1:18" hidden="1" x14ac:dyDescent="0.3">
      <c r="A52" s="35" t="s">
        <v>128</v>
      </c>
      <c r="B52" s="35" t="s">
        <v>60</v>
      </c>
      <c r="C52" s="36"/>
      <c r="D52" s="35"/>
      <c r="E52" s="36"/>
      <c r="F52" s="37"/>
      <c r="G52" s="38"/>
      <c r="H52" s="38"/>
      <c r="I52" s="38"/>
      <c r="J52" s="38"/>
      <c r="K52" s="38"/>
      <c r="L52" s="38"/>
      <c r="M52" s="38">
        <f>SUM(G52:L52)</f>
        <v>0</v>
      </c>
    </row>
    <row r="53" spans="1:18" hidden="1" x14ac:dyDescent="0.3">
      <c r="A53" s="47" t="s">
        <v>128</v>
      </c>
      <c r="B53" s="39" t="s">
        <v>60</v>
      </c>
      <c r="C53" s="41"/>
      <c r="D53" s="42"/>
      <c r="E53" s="43"/>
      <c r="F53" s="39"/>
      <c r="G53" s="44">
        <f t="shared" ref="G53:M53" si="20">SUM(G52:G52)</f>
        <v>0</v>
      </c>
      <c r="H53" s="44">
        <f t="shared" si="20"/>
        <v>0</v>
      </c>
      <c r="I53" s="44">
        <f t="shared" si="20"/>
        <v>0</v>
      </c>
      <c r="J53" s="44">
        <f t="shared" si="20"/>
        <v>0</v>
      </c>
      <c r="K53" s="44">
        <f t="shared" si="20"/>
        <v>0</v>
      </c>
      <c r="L53" s="44">
        <f t="shared" si="20"/>
        <v>0</v>
      </c>
      <c r="M53" s="44">
        <f t="shared" si="20"/>
        <v>0</v>
      </c>
    </row>
    <row r="54" spans="1:18" hidden="1" x14ac:dyDescent="0.3">
      <c r="A54" s="35"/>
      <c r="B54" s="35"/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>SUM(G54:L54)</f>
        <v>0</v>
      </c>
    </row>
    <row r="55" spans="1:18" hidden="1" x14ac:dyDescent="0.3">
      <c r="A55" s="47"/>
      <c r="B55" s="39"/>
      <c r="C55" s="41"/>
      <c r="D55" s="42"/>
      <c r="E55" s="43"/>
      <c r="F55" s="39"/>
      <c r="G55" s="44">
        <f t="shared" ref="G55:M55" si="21">SUM(G54:G54)</f>
        <v>0</v>
      </c>
      <c r="H55" s="44">
        <f t="shared" si="21"/>
        <v>0</v>
      </c>
      <c r="I55" s="44">
        <f t="shared" si="21"/>
        <v>0</v>
      </c>
      <c r="J55" s="44">
        <f t="shared" si="21"/>
        <v>0</v>
      </c>
      <c r="K55" s="44">
        <f t="shared" si="21"/>
        <v>0</v>
      </c>
      <c r="L55" s="44">
        <f t="shared" si="21"/>
        <v>0</v>
      </c>
      <c r="M55" s="44">
        <f t="shared" si="21"/>
        <v>0</v>
      </c>
    </row>
    <row r="56" spans="1:18" ht="14.5" hidden="1" thickBot="1" x14ac:dyDescent="0.35">
      <c r="A56" s="3"/>
      <c r="B56" s="3"/>
      <c r="C56" s="4"/>
      <c r="D56" s="3"/>
      <c r="E56" s="3"/>
      <c r="F56" s="5"/>
      <c r="G56" s="6">
        <f t="shared" ref="G56:M56" si="22">SUM(G4+G6+G8+G10+G13+G16+G19+G22+G29+G43+G51+G53+G55)</f>
        <v>1195.73</v>
      </c>
      <c r="H56" s="6">
        <f t="shared" si="22"/>
        <v>872.74999999999989</v>
      </c>
      <c r="I56" s="6">
        <f t="shared" si="22"/>
        <v>252.54</v>
      </c>
      <c r="J56" s="6">
        <f t="shared" si="22"/>
        <v>0</v>
      </c>
      <c r="K56" s="6">
        <f t="shared" si="22"/>
        <v>1252.18</v>
      </c>
      <c r="L56" s="6">
        <f t="shared" si="22"/>
        <v>263.7</v>
      </c>
      <c r="M56" s="6">
        <f t="shared" si="22"/>
        <v>3561.6000000000004</v>
      </c>
    </row>
    <row r="57" spans="1:18" ht="14.5" hidden="1" thickTop="1" x14ac:dyDescent="0.3">
      <c r="A57" s="7"/>
      <c r="B57" s="7"/>
      <c r="C57" s="8"/>
      <c r="D57" s="7"/>
      <c r="E57" s="7"/>
      <c r="F57" s="7"/>
      <c r="G57" s="9"/>
      <c r="H57" s="9"/>
      <c r="I57" s="9"/>
      <c r="J57" s="9"/>
      <c r="K57" s="9"/>
      <c r="L57" s="9"/>
      <c r="M57" s="9"/>
      <c r="O57" s="10"/>
      <c r="R57" s="11"/>
    </row>
    <row r="58" spans="1:18" hidden="1" x14ac:dyDescent="0.3">
      <c r="E58" s="12"/>
      <c r="F58" s="12"/>
      <c r="N58" s="10"/>
      <c r="O58" s="10"/>
    </row>
    <row r="59" spans="1:18" ht="14.5" hidden="1" thickBot="1" x14ac:dyDescent="0.35">
      <c r="A59" s="7"/>
      <c r="B59" s="7"/>
      <c r="C59" s="8"/>
      <c r="D59" s="7"/>
      <c r="E59" s="7"/>
      <c r="F59" s="7"/>
      <c r="G59" s="9"/>
      <c r="H59" s="9"/>
      <c r="I59" s="9"/>
      <c r="J59" s="9"/>
      <c r="K59" s="9"/>
      <c r="L59" s="9"/>
      <c r="M59" s="9"/>
      <c r="O59" s="10"/>
    </row>
    <row r="60" spans="1:18" ht="14.5" hidden="1" thickBot="1" x14ac:dyDescent="0.35">
      <c r="A60" s="7"/>
      <c r="B60" s="7"/>
      <c r="C60" s="7"/>
      <c r="D60" s="7"/>
      <c r="E60" s="7"/>
      <c r="F60" s="13" t="s">
        <v>13</v>
      </c>
      <c r="G60" s="14"/>
      <c r="H60" s="14"/>
      <c r="I60" s="14"/>
      <c r="J60" s="14"/>
      <c r="K60" s="14"/>
      <c r="L60" s="14"/>
      <c r="M60" s="15"/>
    </row>
    <row r="61" spans="1:18" ht="52" hidden="1" x14ac:dyDescent="0.3">
      <c r="A61" s="7"/>
      <c r="B61" s="7"/>
      <c r="C61" s="7"/>
      <c r="D61" s="7"/>
      <c r="E61" s="7"/>
      <c r="F61" s="16"/>
      <c r="G61" s="17" t="s">
        <v>6</v>
      </c>
      <c r="H61" s="18" t="s">
        <v>8</v>
      </c>
      <c r="I61" s="18" t="s">
        <v>27</v>
      </c>
      <c r="J61" s="18" t="s">
        <v>28</v>
      </c>
      <c r="K61" s="18" t="s">
        <v>10</v>
      </c>
      <c r="L61" s="18" t="s">
        <v>11</v>
      </c>
      <c r="M61" s="19" t="s">
        <v>17</v>
      </c>
    </row>
    <row r="62" spans="1:18" hidden="1" x14ac:dyDescent="0.3">
      <c r="A62" s="7"/>
      <c r="B62" s="7"/>
      <c r="C62" s="7"/>
      <c r="D62" s="7"/>
      <c r="E62" s="7"/>
      <c r="F62" s="20" t="s">
        <v>18</v>
      </c>
      <c r="G62" s="21">
        <f>G56-G63</f>
        <v>0</v>
      </c>
      <c r="H62" s="21">
        <f t="shared" ref="H62:M62" si="23">H56-H63</f>
        <v>287.04999999999984</v>
      </c>
      <c r="I62" s="21">
        <f t="shared" si="23"/>
        <v>31.900000000000006</v>
      </c>
      <c r="J62" s="21">
        <f t="shared" si="23"/>
        <v>0</v>
      </c>
      <c r="K62" s="21">
        <f t="shared" si="23"/>
        <v>84.980000000000018</v>
      </c>
      <c r="L62" s="21">
        <f t="shared" si="23"/>
        <v>0</v>
      </c>
      <c r="M62" s="21">
        <f t="shared" si="23"/>
        <v>403.93000000000029</v>
      </c>
    </row>
    <row r="63" spans="1:18" hidden="1" x14ac:dyDescent="0.3">
      <c r="A63" s="7"/>
      <c r="B63" s="7"/>
      <c r="C63" s="7"/>
      <c r="D63" s="7"/>
      <c r="E63" s="7"/>
      <c r="F63" s="20" t="s">
        <v>19</v>
      </c>
      <c r="G63" s="21">
        <f>G55+G53+G51+G43+G36+G29</f>
        <v>1195.73</v>
      </c>
      <c r="H63" s="21">
        <f t="shared" ref="H63:M63" si="24">H55+H53+H51+H43+H36+H29</f>
        <v>585.70000000000005</v>
      </c>
      <c r="I63" s="21">
        <f t="shared" si="24"/>
        <v>220.64</v>
      </c>
      <c r="J63" s="21">
        <f t="shared" si="24"/>
        <v>0</v>
      </c>
      <c r="K63" s="21">
        <f t="shared" si="24"/>
        <v>1167.2</v>
      </c>
      <c r="L63" s="21">
        <f t="shared" si="24"/>
        <v>263.7</v>
      </c>
      <c r="M63" s="21">
        <f t="shared" si="24"/>
        <v>3157.67</v>
      </c>
    </row>
    <row r="64" spans="1:18" hidden="1" x14ac:dyDescent="0.3">
      <c r="A64" s="7"/>
      <c r="B64" s="7"/>
      <c r="C64" s="7"/>
      <c r="D64" s="7"/>
      <c r="E64" s="7"/>
      <c r="F64" s="22" t="s">
        <v>20</v>
      </c>
      <c r="G64" s="23">
        <f>G62+G63</f>
        <v>1195.73</v>
      </c>
      <c r="H64" s="23">
        <f t="shared" ref="H64:M64" si="25">H62+H63</f>
        <v>872.74999999999989</v>
      </c>
      <c r="I64" s="23">
        <f t="shared" si="25"/>
        <v>252.54</v>
      </c>
      <c r="J64" s="23">
        <f t="shared" si="25"/>
        <v>0</v>
      </c>
      <c r="K64" s="23">
        <f t="shared" si="25"/>
        <v>1252.18</v>
      </c>
      <c r="L64" s="23">
        <f t="shared" si="25"/>
        <v>263.7</v>
      </c>
      <c r="M64" s="23">
        <f t="shared" si="25"/>
        <v>3561.6000000000004</v>
      </c>
      <c r="N64" s="25"/>
    </row>
    <row r="65" spans="1:13" hidden="1" x14ac:dyDescent="0.3">
      <c r="A65" s="7"/>
      <c r="B65" s="7"/>
      <c r="C65" s="7"/>
      <c r="D65" s="7"/>
      <c r="E65" s="7"/>
      <c r="F65" s="7"/>
      <c r="G65" s="9"/>
      <c r="H65" s="9"/>
      <c r="I65" s="9"/>
      <c r="J65" s="9"/>
      <c r="K65" s="9"/>
      <c r="L65" s="9"/>
      <c r="M65" s="9"/>
    </row>
    <row r="68" spans="1:13" x14ac:dyDescent="0.3">
      <c r="M68" s="10"/>
    </row>
  </sheetData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8"/>
  <sheetViews>
    <sheetView zoomScale="85" zoomScaleNormal="85" workbookViewId="0">
      <pane xSplit="1" ySplit="2" topLeftCell="B39" activePane="bottomRight" state="frozen"/>
      <selection sqref="A1:XFD1048576"/>
      <selection pane="topRight" sqref="A1:XFD1048576"/>
      <selection pane="bottomLeft" sqref="A1:XFD1048576"/>
      <selection pane="bottomRight" activeCell="G51" sqref="G51"/>
    </sheetView>
  </sheetViews>
  <sheetFormatPr defaultColWidth="9.1796875" defaultRowHeight="14" x14ac:dyDescent="0.3"/>
  <cols>
    <col min="1" max="1" width="13.453125" style="1" customWidth="1"/>
    <col min="2" max="2" width="29.81640625" style="1" customWidth="1"/>
    <col min="3" max="3" width="25.26953125" style="1" customWidth="1"/>
    <col min="4" max="4" width="33" style="1" customWidth="1"/>
    <col min="5" max="5" width="19.1796875" style="1" customWidth="1"/>
    <col min="6" max="6" width="20.81640625" style="1" customWidth="1"/>
    <col min="7" max="7" width="8.1796875" style="1" customWidth="1"/>
    <col min="8" max="8" width="9.1796875" style="1"/>
    <col min="9" max="9" width="10.7265625" style="1" customWidth="1"/>
    <col min="10" max="12" width="9.1796875" style="1"/>
    <col min="13" max="13" width="10" style="1" bestFit="1" customWidth="1"/>
    <col min="14" max="17" width="9.1796875" style="1"/>
    <col min="18" max="18" width="17" style="1" customWidth="1"/>
    <col min="19" max="16384" width="9.1796875" style="1"/>
  </cols>
  <sheetData>
    <row r="1" spans="1:13" ht="22.5" x14ac:dyDescent="0.45">
      <c r="A1" s="29" t="s">
        <v>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3" x14ac:dyDescent="0.3">
      <c r="A3" s="54"/>
      <c r="B3" s="54"/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7" t="s">
        <v>41</v>
      </c>
      <c r="B4" s="39"/>
      <c r="C4" s="41"/>
      <c r="D4" s="42"/>
      <c r="E4" s="43"/>
      <c r="F4" s="39"/>
      <c r="G4" s="44">
        <f>SUM(G3:G3)</f>
        <v>0</v>
      </c>
      <c r="H4" s="44">
        <f>SUM(H3:H3)</f>
        <v>0</v>
      </c>
      <c r="I4" s="44">
        <f>SUM(I3:I3)</f>
        <v>0</v>
      </c>
      <c r="J4" s="44">
        <f>SUM(J3:J3)</f>
        <v>0</v>
      </c>
      <c r="K4" s="44">
        <f>SUM(K3:K3)</f>
        <v>0</v>
      </c>
      <c r="L4" s="44">
        <f>SUM(L3:L3)</f>
        <v>0</v>
      </c>
      <c r="M4" s="44">
        <f>SUM(M3:M3)</f>
        <v>0</v>
      </c>
    </row>
    <row r="5" spans="1:13" x14ac:dyDescent="0.3">
      <c r="A5" s="35" t="s">
        <v>54</v>
      </c>
      <c r="B5" s="35" t="s">
        <v>34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7" t="s">
        <v>54</v>
      </c>
      <c r="B6" s="39"/>
      <c r="C6" s="41"/>
      <c r="D6" s="42"/>
      <c r="E6" s="43"/>
      <c r="F6" s="39"/>
      <c r="G6" s="44">
        <f t="shared" ref="G6:M6" si="0">SUM(G5:G5)</f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</row>
    <row r="7" spans="1:13" x14ac:dyDescent="0.3">
      <c r="A7" s="35" t="s">
        <v>68</v>
      </c>
      <c r="B7" s="35" t="s">
        <v>34</v>
      </c>
      <c r="C7" s="36">
        <v>45347</v>
      </c>
      <c r="D7" s="35" t="s">
        <v>139</v>
      </c>
      <c r="E7" s="35">
        <v>45357</v>
      </c>
      <c r="F7" s="37" t="s">
        <v>35</v>
      </c>
      <c r="G7" s="38"/>
      <c r="H7" s="38"/>
      <c r="I7" s="38"/>
      <c r="J7" s="38"/>
      <c r="K7" s="38">
        <v>187.70000000000002</v>
      </c>
      <c r="L7" s="38"/>
      <c r="M7" s="38">
        <f t="shared" ref="M7:M8" si="1">SUM(G7:L7)</f>
        <v>187.70000000000002</v>
      </c>
    </row>
    <row r="8" spans="1:13" x14ac:dyDescent="0.3">
      <c r="A8" s="35" t="s">
        <v>68</v>
      </c>
      <c r="B8" s="35" t="s">
        <v>34</v>
      </c>
      <c r="C8" s="36">
        <v>45190</v>
      </c>
      <c r="D8" s="35" t="s">
        <v>39</v>
      </c>
      <c r="E8" s="36">
        <v>45331</v>
      </c>
      <c r="F8" s="37" t="s">
        <v>35</v>
      </c>
      <c r="G8" s="38"/>
      <c r="H8" s="38"/>
      <c r="I8" s="38"/>
      <c r="J8" s="38">
        <f>5.85+9.1</f>
        <v>14.95</v>
      </c>
      <c r="K8" s="38">
        <v>3.6</v>
      </c>
      <c r="L8" s="38"/>
      <c r="M8" s="38">
        <f t="shared" si="1"/>
        <v>18.55</v>
      </c>
    </row>
    <row r="9" spans="1:13" x14ac:dyDescent="0.3">
      <c r="A9" s="47" t="s">
        <v>40</v>
      </c>
      <c r="B9" s="39"/>
      <c r="C9" s="41"/>
      <c r="D9" s="42"/>
      <c r="E9" s="43"/>
      <c r="F9" s="39"/>
      <c r="G9" s="44">
        <f>SUM(G7:G8)</f>
        <v>0</v>
      </c>
      <c r="H9" s="44">
        <f t="shared" ref="H9:M9" si="2">SUM(H7:H8)</f>
        <v>0</v>
      </c>
      <c r="I9" s="44">
        <f t="shared" si="2"/>
        <v>0</v>
      </c>
      <c r="J9" s="44">
        <f t="shared" si="2"/>
        <v>14.95</v>
      </c>
      <c r="K9" s="44">
        <f t="shared" si="2"/>
        <v>191.3</v>
      </c>
      <c r="L9" s="44">
        <f t="shared" si="2"/>
        <v>0</v>
      </c>
      <c r="M9" s="44">
        <f t="shared" si="2"/>
        <v>206.25000000000003</v>
      </c>
    </row>
    <row r="10" spans="1:13" x14ac:dyDescent="0.3">
      <c r="A10" s="35" t="s">
        <v>67</v>
      </c>
      <c r="B10" s="35" t="s">
        <v>34</v>
      </c>
      <c r="C10" s="36">
        <v>45358</v>
      </c>
      <c r="D10" s="35" t="s">
        <v>39</v>
      </c>
      <c r="E10" s="36">
        <v>45362</v>
      </c>
      <c r="F10" s="37"/>
      <c r="G10" s="38"/>
      <c r="H10" s="38"/>
      <c r="I10" s="38"/>
      <c r="J10" s="38">
        <v>58.5</v>
      </c>
      <c r="K10" s="38"/>
      <c r="L10" s="38"/>
      <c r="M10" s="38">
        <f t="shared" ref="M10" si="3">SUM(G10:L10)</f>
        <v>58.5</v>
      </c>
    </row>
    <row r="11" spans="1:13" x14ac:dyDescent="0.3">
      <c r="A11" s="47" t="s">
        <v>38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SUM(H10)</f>
        <v>0</v>
      </c>
      <c r="I11" s="44">
        <f t="shared" si="4"/>
        <v>0</v>
      </c>
      <c r="J11" s="44">
        <f t="shared" si="4"/>
        <v>58.5</v>
      </c>
      <c r="K11" s="44">
        <f t="shared" si="4"/>
        <v>0</v>
      </c>
      <c r="L11" s="44">
        <f t="shared" si="4"/>
        <v>0</v>
      </c>
      <c r="M11" s="44">
        <f t="shared" si="4"/>
        <v>58.5</v>
      </c>
    </row>
    <row r="12" spans="1:13" x14ac:dyDescent="0.3">
      <c r="A12" s="35" t="s">
        <v>66</v>
      </c>
      <c r="B12" s="35" t="s">
        <v>34</v>
      </c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>
        <f t="shared" ref="M12" si="5">SUM(G12:L12)</f>
        <v>0</v>
      </c>
    </row>
    <row r="13" spans="1:13" x14ac:dyDescent="0.3">
      <c r="A13" s="47" t="s">
        <v>43</v>
      </c>
      <c r="B13" s="39"/>
      <c r="C13" s="41"/>
      <c r="D13" s="42"/>
      <c r="E13" s="43"/>
      <c r="F13" s="39"/>
      <c r="G13" s="44">
        <f>SUM(G12)</f>
        <v>0</v>
      </c>
      <c r="H13" s="44">
        <f t="shared" ref="H13:M13" si="6">SUM(H12)</f>
        <v>0</v>
      </c>
      <c r="I13" s="44">
        <f t="shared" si="6"/>
        <v>0</v>
      </c>
      <c r="J13" s="44">
        <f t="shared" si="6"/>
        <v>0</v>
      </c>
      <c r="K13" s="44">
        <f t="shared" si="6"/>
        <v>0</v>
      </c>
      <c r="L13" s="44">
        <f t="shared" si="6"/>
        <v>0</v>
      </c>
      <c r="M13" s="44">
        <f t="shared" si="6"/>
        <v>0</v>
      </c>
    </row>
    <row r="14" spans="1:13" x14ac:dyDescent="0.3">
      <c r="A14" s="35" t="s">
        <v>69</v>
      </c>
      <c r="B14" s="35" t="s">
        <v>34</v>
      </c>
      <c r="C14" s="36"/>
      <c r="D14" s="35"/>
      <c r="E14" s="36"/>
      <c r="F14" s="37"/>
      <c r="G14" s="38"/>
      <c r="H14" s="38"/>
      <c r="I14" s="38"/>
      <c r="J14" s="38"/>
      <c r="K14" s="38"/>
      <c r="L14" s="38"/>
      <c r="M14" s="38">
        <f t="shared" ref="M14:M54" si="7">SUM(G14:L14)</f>
        <v>0</v>
      </c>
    </row>
    <row r="15" spans="1:13" x14ac:dyDescent="0.3">
      <c r="A15" s="47" t="s">
        <v>36</v>
      </c>
      <c r="B15" s="39"/>
      <c r="C15" s="41"/>
      <c r="D15" s="42"/>
      <c r="E15" s="43"/>
      <c r="F15" s="39"/>
      <c r="G15" s="44">
        <f>SUM(G14)</f>
        <v>0</v>
      </c>
      <c r="H15" s="44">
        <f t="shared" ref="H15:M15" si="8">SUM(H14)</f>
        <v>0</v>
      </c>
      <c r="I15" s="44">
        <f t="shared" si="8"/>
        <v>0</v>
      </c>
      <c r="J15" s="44">
        <f t="shared" si="8"/>
        <v>0</v>
      </c>
      <c r="K15" s="44">
        <f t="shared" si="8"/>
        <v>0</v>
      </c>
      <c r="L15" s="44">
        <f t="shared" si="8"/>
        <v>0</v>
      </c>
      <c r="M15" s="44">
        <f t="shared" si="8"/>
        <v>0</v>
      </c>
    </row>
    <row r="16" spans="1:13" x14ac:dyDescent="0.3">
      <c r="A16" s="35" t="s">
        <v>65</v>
      </c>
      <c r="B16" s="35" t="s">
        <v>34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>
        <f t="shared" si="7"/>
        <v>0</v>
      </c>
    </row>
    <row r="17" spans="1:13" x14ac:dyDescent="0.3">
      <c r="A17" s="47" t="s">
        <v>56</v>
      </c>
      <c r="B17" s="39"/>
      <c r="C17" s="41"/>
      <c r="D17" s="42"/>
      <c r="E17" s="43"/>
      <c r="F17" s="39"/>
      <c r="G17" s="44">
        <f t="shared" ref="G17:M17" si="9">SUM(G16:G16)</f>
        <v>0</v>
      </c>
      <c r="H17" s="44">
        <f t="shared" si="9"/>
        <v>0</v>
      </c>
      <c r="I17" s="44">
        <f t="shared" si="9"/>
        <v>0</v>
      </c>
      <c r="J17" s="44">
        <f t="shared" si="9"/>
        <v>0</v>
      </c>
      <c r="K17" s="44">
        <f t="shared" si="9"/>
        <v>0</v>
      </c>
      <c r="L17" s="44">
        <f t="shared" si="9"/>
        <v>0</v>
      </c>
      <c r="M17" s="44">
        <f t="shared" si="9"/>
        <v>0</v>
      </c>
    </row>
    <row r="18" spans="1:13" x14ac:dyDescent="0.3">
      <c r="A18" s="35" t="s">
        <v>74</v>
      </c>
      <c r="B18" s="35" t="s">
        <v>51</v>
      </c>
      <c r="C18" s="36">
        <v>45316</v>
      </c>
      <c r="D18" s="35" t="s">
        <v>139</v>
      </c>
      <c r="E18" s="36">
        <v>45358</v>
      </c>
      <c r="F18" s="35" t="s">
        <v>35</v>
      </c>
      <c r="G18" s="38"/>
      <c r="H18" s="38"/>
      <c r="I18" s="38">
        <v>54.8</v>
      </c>
      <c r="J18" s="38"/>
      <c r="K18" s="38"/>
      <c r="L18" s="38"/>
      <c r="M18" s="38">
        <f t="shared" si="7"/>
        <v>54.8</v>
      </c>
    </row>
    <row r="19" spans="1:13" x14ac:dyDescent="0.3">
      <c r="A19" s="35" t="s">
        <v>74</v>
      </c>
      <c r="B19" s="35" t="s">
        <v>51</v>
      </c>
      <c r="C19" s="36">
        <v>45298</v>
      </c>
      <c r="D19" s="35" t="s">
        <v>129</v>
      </c>
      <c r="E19" s="36">
        <v>45267</v>
      </c>
      <c r="F19" s="35" t="s">
        <v>126</v>
      </c>
      <c r="G19" s="38"/>
      <c r="H19" s="38"/>
      <c r="I19" s="38">
        <v>-39.799999999999997</v>
      </c>
      <c r="J19" s="38"/>
      <c r="K19" s="38"/>
      <c r="L19" s="38"/>
      <c r="M19" s="38">
        <f t="shared" si="7"/>
        <v>-39.799999999999997</v>
      </c>
    </row>
    <row r="20" spans="1:13" x14ac:dyDescent="0.3">
      <c r="A20" s="35" t="s">
        <v>74</v>
      </c>
      <c r="B20" s="35" t="s">
        <v>51</v>
      </c>
      <c r="C20" s="36">
        <v>45379</v>
      </c>
      <c r="D20" s="35" t="s">
        <v>139</v>
      </c>
      <c r="E20" s="35">
        <v>45407</v>
      </c>
      <c r="F20" s="35" t="s">
        <v>35</v>
      </c>
      <c r="G20" s="38"/>
      <c r="H20" s="38"/>
      <c r="I20" s="38">
        <v>46.4</v>
      </c>
      <c r="J20" s="38"/>
      <c r="K20" s="38"/>
      <c r="L20" s="38"/>
      <c r="M20" s="38">
        <f t="shared" si="7"/>
        <v>46.4</v>
      </c>
    </row>
    <row r="21" spans="1:13" x14ac:dyDescent="0.3">
      <c r="A21" s="47" t="s">
        <v>74</v>
      </c>
      <c r="B21" s="39"/>
      <c r="C21" s="41"/>
      <c r="D21" s="42"/>
      <c r="E21" s="43"/>
      <c r="F21" s="39"/>
      <c r="G21" s="44">
        <f>SUM(G18:G20)</f>
        <v>0</v>
      </c>
      <c r="H21" s="44">
        <f t="shared" ref="H21:M21" si="10">SUM(H18:H20)</f>
        <v>0</v>
      </c>
      <c r="I21" s="44">
        <f t="shared" si="10"/>
        <v>61.4</v>
      </c>
      <c r="J21" s="44">
        <f t="shared" si="10"/>
        <v>0</v>
      </c>
      <c r="K21" s="44">
        <f t="shared" si="10"/>
        <v>0</v>
      </c>
      <c r="L21" s="44">
        <f t="shared" si="10"/>
        <v>0</v>
      </c>
      <c r="M21" s="44">
        <f t="shared" si="10"/>
        <v>61.4</v>
      </c>
    </row>
    <row r="22" spans="1:13" x14ac:dyDescent="0.3">
      <c r="A22" s="35" t="s">
        <v>72</v>
      </c>
      <c r="B22" s="35" t="s">
        <v>25</v>
      </c>
      <c r="C22" s="36">
        <v>45301</v>
      </c>
      <c r="D22" s="35" t="s">
        <v>139</v>
      </c>
      <c r="E22" s="36">
        <v>45315</v>
      </c>
      <c r="F22" s="35" t="s">
        <v>35</v>
      </c>
      <c r="G22" s="38">
        <v>364.94</v>
      </c>
      <c r="H22" s="38"/>
      <c r="I22" s="38"/>
      <c r="J22" s="38"/>
      <c r="K22" s="38"/>
      <c r="L22" s="38"/>
      <c r="M22" s="38">
        <f t="shared" si="7"/>
        <v>364.94</v>
      </c>
    </row>
    <row r="23" spans="1:13" x14ac:dyDescent="0.3">
      <c r="A23" s="35" t="s">
        <v>72</v>
      </c>
      <c r="B23" s="35" t="s">
        <v>25</v>
      </c>
      <c r="C23" s="36">
        <v>45295</v>
      </c>
      <c r="D23" s="35" t="s">
        <v>139</v>
      </c>
      <c r="E23" s="36">
        <v>45308</v>
      </c>
      <c r="F23" s="35" t="s">
        <v>35</v>
      </c>
      <c r="G23" s="38">
        <v>331.24</v>
      </c>
      <c r="H23" s="38"/>
      <c r="I23" s="38"/>
      <c r="J23" s="38"/>
      <c r="K23" s="38"/>
      <c r="L23" s="38"/>
      <c r="M23" s="38">
        <f t="shared" si="7"/>
        <v>331.24</v>
      </c>
    </row>
    <row r="24" spans="1:13" x14ac:dyDescent="0.3">
      <c r="A24" s="35" t="s">
        <v>72</v>
      </c>
      <c r="B24" s="35" t="s">
        <v>25</v>
      </c>
      <c r="C24" s="36">
        <v>45300</v>
      </c>
      <c r="D24" s="35" t="s">
        <v>139</v>
      </c>
      <c r="E24" s="36">
        <v>45308</v>
      </c>
      <c r="F24" s="35" t="s">
        <v>35</v>
      </c>
      <c r="G24" s="38"/>
      <c r="H24" s="38"/>
      <c r="I24" s="38"/>
      <c r="J24" s="38">
        <v>57.13</v>
      </c>
      <c r="K24" s="38"/>
      <c r="L24" s="38"/>
      <c r="M24" s="38">
        <f t="shared" si="7"/>
        <v>57.13</v>
      </c>
    </row>
    <row r="25" spans="1:13" x14ac:dyDescent="0.3">
      <c r="A25" s="35" t="s">
        <v>72</v>
      </c>
      <c r="B25" s="35" t="s">
        <v>25</v>
      </c>
      <c r="C25" s="36">
        <v>45316</v>
      </c>
      <c r="D25" s="35" t="s">
        <v>139</v>
      </c>
      <c r="E25" s="36">
        <v>45315</v>
      </c>
      <c r="F25" s="35" t="s">
        <v>35</v>
      </c>
      <c r="G25" s="38"/>
      <c r="H25" s="38"/>
      <c r="I25" s="38"/>
      <c r="J25" s="38"/>
      <c r="K25" s="38">
        <v>128.99</v>
      </c>
      <c r="L25" s="38"/>
      <c r="M25" s="38">
        <f t="shared" si="7"/>
        <v>128.99</v>
      </c>
    </row>
    <row r="26" spans="1:13" x14ac:dyDescent="0.3">
      <c r="A26" s="35" t="s">
        <v>72</v>
      </c>
      <c r="B26" s="35" t="s">
        <v>25</v>
      </c>
      <c r="C26" s="36">
        <v>45309</v>
      </c>
      <c r="D26" s="35" t="s">
        <v>139</v>
      </c>
      <c r="E26" s="36">
        <v>45308</v>
      </c>
      <c r="F26" s="35" t="s">
        <v>35</v>
      </c>
      <c r="G26" s="38"/>
      <c r="H26" s="38"/>
      <c r="I26" s="38"/>
      <c r="J26" s="38"/>
      <c r="K26" s="38">
        <v>100.19</v>
      </c>
      <c r="L26" s="38"/>
      <c r="M26" s="38">
        <f t="shared" si="7"/>
        <v>100.19</v>
      </c>
    </row>
    <row r="27" spans="1:13" x14ac:dyDescent="0.3">
      <c r="A27" s="35" t="s">
        <v>72</v>
      </c>
      <c r="B27" s="35" t="s">
        <v>25</v>
      </c>
      <c r="C27" s="36">
        <v>45345</v>
      </c>
      <c r="D27" s="35" t="s">
        <v>139</v>
      </c>
      <c r="E27" s="36">
        <v>45357</v>
      </c>
      <c r="F27" s="35" t="s">
        <v>35</v>
      </c>
      <c r="G27" s="38">
        <v>418.57</v>
      </c>
      <c r="H27" s="38"/>
      <c r="I27" s="38"/>
      <c r="J27" s="38"/>
      <c r="K27" s="38"/>
      <c r="L27" s="38"/>
      <c r="M27" s="38">
        <f t="shared" si="7"/>
        <v>418.57</v>
      </c>
    </row>
    <row r="28" spans="1:13" x14ac:dyDescent="0.3">
      <c r="A28" s="35" t="s">
        <v>72</v>
      </c>
      <c r="B28" s="35" t="s">
        <v>25</v>
      </c>
      <c r="C28" s="36">
        <v>45369</v>
      </c>
      <c r="D28" s="35" t="s">
        <v>139</v>
      </c>
      <c r="E28" s="35">
        <v>45376</v>
      </c>
      <c r="F28" s="35" t="s">
        <v>35</v>
      </c>
      <c r="G28" s="38">
        <v>315.24</v>
      </c>
      <c r="H28" s="38"/>
      <c r="I28" s="38"/>
      <c r="J28" s="38"/>
      <c r="K28" s="38">
        <v>138.99</v>
      </c>
      <c r="L28" s="38"/>
      <c r="M28" s="38">
        <f t="shared" si="7"/>
        <v>454.23</v>
      </c>
    </row>
    <row r="29" spans="1:13" x14ac:dyDescent="0.3">
      <c r="A29" s="35" t="s">
        <v>72</v>
      </c>
      <c r="B29" s="35" t="s">
        <v>25</v>
      </c>
      <c r="C29" s="36">
        <v>45377</v>
      </c>
      <c r="D29" s="35" t="s">
        <v>139</v>
      </c>
      <c r="E29" s="35">
        <v>45398</v>
      </c>
      <c r="F29" s="35" t="s">
        <v>35</v>
      </c>
      <c r="G29" s="38">
        <v>308.74</v>
      </c>
      <c r="H29" s="38"/>
      <c r="I29" s="38"/>
      <c r="J29" s="38"/>
      <c r="K29" s="38"/>
      <c r="L29" s="38"/>
      <c r="M29" s="38">
        <f t="shared" si="7"/>
        <v>308.74</v>
      </c>
    </row>
    <row r="30" spans="1:13" x14ac:dyDescent="0.3">
      <c r="A30" s="35" t="s">
        <v>72</v>
      </c>
      <c r="B30" s="35" t="s">
        <v>25</v>
      </c>
      <c r="C30" s="36">
        <v>45377</v>
      </c>
      <c r="D30" s="35" t="s">
        <v>139</v>
      </c>
      <c r="E30" s="35">
        <v>45405</v>
      </c>
      <c r="F30" s="35" t="s">
        <v>35</v>
      </c>
      <c r="G30" s="38">
        <v>159.12</v>
      </c>
      <c r="H30" s="38"/>
      <c r="I30" s="38"/>
      <c r="J30" s="38"/>
      <c r="K30" s="38"/>
      <c r="L30" s="38"/>
      <c r="M30" s="38">
        <f t="shared" si="7"/>
        <v>159.12</v>
      </c>
    </row>
    <row r="31" spans="1:13" x14ac:dyDescent="0.3">
      <c r="A31" s="35" t="s">
        <v>72</v>
      </c>
      <c r="B31" s="35" t="s">
        <v>25</v>
      </c>
      <c r="C31" s="36">
        <v>45378</v>
      </c>
      <c r="D31" s="35" t="s">
        <v>139</v>
      </c>
      <c r="E31" s="35">
        <v>45407</v>
      </c>
      <c r="F31" s="35" t="s">
        <v>35</v>
      </c>
      <c r="G31" s="38">
        <v>222.03</v>
      </c>
      <c r="H31" s="38"/>
      <c r="I31" s="38"/>
      <c r="J31" s="38"/>
      <c r="K31" s="38"/>
      <c r="L31" s="38"/>
      <c r="M31" s="38">
        <f t="shared" si="7"/>
        <v>222.03</v>
      </c>
    </row>
    <row r="32" spans="1:13" x14ac:dyDescent="0.3">
      <c r="A32" s="35" t="s">
        <v>72</v>
      </c>
      <c r="B32" s="35" t="s">
        <v>25</v>
      </c>
      <c r="C32" s="35">
        <v>45322</v>
      </c>
      <c r="D32" s="35" t="s">
        <v>139</v>
      </c>
      <c r="E32" s="36">
        <v>45246</v>
      </c>
      <c r="F32" s="35"/>
      <c r="G32" s="35"/>
      <c r="H32" s="38"/>
      <c r="I32" s="38"/>
      <c r="J32" s="38">
        <v>5.45</v>
      </c>
      <c r="K32" s="38">
        <v>29.74</v>
      </c>
      <c r="L32" s="38">
        <v>3.8</v>
      </c>
      <c r="M32" s="38">
        <f t="shared" si="7"/>
        <v>38.989999999999995</v>
      </c>
    </row>
    <row r="33" spans="1:13" x14ac:dyDescent="0.3">
      <c r="A33" s="35" t="s">
        <v>72</v>
      </c>
      <c r="B33" s="35" t="s">
        <v>25</v>
      </c>
      <c r="C33" s="35">
        <v>45324</v>
      </c>
      <c r="D33" s="35" t="s">
        <v>140</v>
      </c>
      <c r="E33" s="36">
        <v>45657</v>
      </c>
      <c r="F33" s="35"/>
      <c r="G33" s="35"/>
      <c r="H33" s="38"/>
      <c r="I33" s="38"/>
      <c r="J33" s="38">
        <v>10.9</v>
      </c>
      <c r="K33" s="38">
        <v>84.98</v>
      </c>
      <c r="L33" s="38">
        <v>2.9</v>
      </c>
      <c r="M33" s="38">
        <f t="shared" si="7"/>
        <v>98.780000000000015</v>
      </c>
    </row>
    <row r="34" spans="1:13" x14ac:dyDescent="0.3">
      <c r="A34" s="35" t="s">
        <v>72</v>
      </c>
      <c r="B34" s="35" t="s">
        <v>25</v>
      </c>
      <c r="C34" s="35">
        <v>45322</v>
      </c>
      <c r="D34" s="35" t="s">
        <v>140</v>
      </c>
      <c r="E34" s="36">
        <v>45217</v>
      </c>
      <c r="F34" s="35"/>
      <c r="G34" s="35"/>
      <c r="H34" s="38"/>
      <c r="I34" s="38"/>
      <c r="J34" s="38">
        <v>5.45</v>
      </c>
      <c r="K34" s="38">
        <v>36.840000000000003</v>
      </c>
      <c r="L34" s="38">
        <v>3.8</v>
      </c>
      <c r="M34" s="38">
        <f t="shared" si="7"/>
        <v>46.09</v>
      </c>
    </row>
    <row r="35" spans="1:13" x14ac:dyDescent="0.3">
      <c r="A35" s="35" t="s">
        <v>72</v>
      </c>
      <c r="B35" s="35" t="s">
        <v>25</v>
      </c>
      <c r="C35" s="35">
        <v>45348</v>
      </c>
      <c r="D35" s="35" t="s">
        <v>140</v>
      </c>
      <c r="E35" s="36">
        <v>45322</v>
      </c>
      <c r="F35" s="35"/>
      <c r="G35" s="35"/>
      <c r="H35" s="38"/>
      <c r="I35" s="38"/>
      <c r="J35" s="38">
        <v>10.9</v>
      </c>
      <c r="K35" s="38">
        <v>44.44</v>
      </c>
      <c r="L35" s="38">
        <v>17.399999999999999</v>
      </c>
      <c r="M35" s="38">
        <f t="shared" si="7"/>
        <v>72.739999999999995</v>
      </c>
    </row>
    <row r="36" spans="1:13" x14ac:dyDescent="0.3">
      <c r="A36" s="47" t="s">
        <v>72</v>
      </c>
      <c r="B36" s="39"/>
      <c r="C36" s="41"/>
      <c r="D36" s="42"/>
      <c r="E36" s="43"/>
      <c r="F36" s="39"/>
      <c r="G36" s="44">
        <f>SUM(G22:G35)</f>
        <v>2119.88</v>
      </c>
      <c r="H36" s="44">
        <f>SUM(H22:H35)</f>
        <v>0</v>
      </c>
      <c r="I36" s="44">
        <f>SUM(I22:I35)</f>
        <v>0</v>
      </c>
      <c r="J36" s="44">
        <f>SUM(J22:J35)</f>
        <v>89.830000000000013</v>
      </c>
      <c r="K36" s="44">
        <f>SUM(K22:K35)</f>
        <v>564.17000000000007</v>
      </c>
      <c r="L36" s="44">
        <f>SUM(L22:L35)</f>
        <v>27.9</v>
      </c>
      <c r="M36" s="44">
        <f>SUM(M22:M35)</f>
        <v>2801.7799999999997</v>
      </c>
    </row>
    <row r="37" spans="1:13" x14ac:dyDescent="0.3">
      <c r="A37" s="35" t="s">
        <v>73</v>
      </c>
      <c r="B37" s="35" t="s">
        <v>33</v>
      </c>
      <c r="C37" s="36">
        <v>45362</v>
      </c>
      <c r="D37" s="35" t="s">
        <v>134</v>
      </c>
      <c r="E37" s="36">
        <v>45357</v>
      </c>
      <c r="F37" s="37" t="s">
        <v>35</v>
      </c>
      <c r="G37" s="36"/>
      <c r="H37" s="38"/>
      <c r="I37" s="38"/>
      <c r="J37" s="38">
        <v>18.350000000000001</v>
      </c>
      <c r="K37" s="38">
        <v>48.8</v>
      </c>
      <c r="L37" s="38"/>
      <c r="M37" s="38">
        <f t="shared" si="7"/>
        <v>67.150000000000006</v>
      </c>
    </row>
    <row r="38" spans="1:13" x14ac:dyDescent="0.3">
      <c r="A38" s="35" t="s">
        <v>73</v>
      </c>
      <c r="B38" s="35" t="s">
        <v>33</v>
      </c>
      <c r="C38" s="35">
        <v>45308</v>
      </c>
      <c r="D38" s="35" t="s">
        <v>139</v>
      </c>
      <c r="E38" s="36">
        <v>45295</v>
      </c>
      <c r="F38" s="37" t="s">
        <v>35</v>
      </c>
      <c r="G38" s="36"/>
      <c r="H38" s="38"/>
      <c r="I38" s="38">
        <v>111</v>
      </c>
      <c r="J38" s="38"/>
      <c r="K38" s="38"/>
      <c r="L38" s="38"/>
      <c r="M38" s="38">
        <f t="shared" si="7"/>
        <v>111</v>
      </c>
    </row>
    <row r="39" spans="1:13" x14ac:dyDescent="0.3">
      <c r="A39" s="35" t="s">
        <v>73</v>
      </c>
      <c r="B39" s="35" t="s">
        <v>33</v>
      </c>
      <c r="C39" s="35">
        <v>44847</v>
      </c>
      <c r="D39" s="35" t="s">
        <v>139</v>
      </c>
      <c r="E39" s="36">
        <v>45309</v>
      </c>
      <c r="F39" s="37" t="s">
        <v>35</v>
      </c>
      <c r="G39" s="36"/>
      <c r="H39" s="38"/>
      <c r="I39" s="38"/>
      <c r="J39" s="38"/>
      <c r="K39" s="38">
        <v>125</v>
      </c>
      <c r="L39" s="38"/>
      <c r="M39" s="38">
        <f t="shared" si="7"/>
        <v>125</v>
      </c>
    </row>
    <row r="40" spans="1:13" x14ac:dyDescent="0.3">
      <c r="A40" s="35" t="s">
        <v>73</v>
      </c>
      <c r="B40" s="35" t="s">
        <v>33</v>
      </c>
      <c r="C40" s="35">
        <v>45314</v>
      </c>
      <c r="D40" s="35" t="s">
        <v>139</v>
      </c>
      <c r="E40" s="36">
        <v>45301</v>
      </c>
      <c r="F40" s="37" t="s">
        <v>35</v>
      </c>
      <c r="G40" s="36"/>
      <c r="H40" s="38"/>
      <c r="I40" s="38">
        <v>273.8</v>
      </c>
      <c r="J40" s="38"/>
      <c r="K40" s="38"/>
      <c r="L40" s="38"/>
      <c r="M40" s="38">
        <f t="shared" si="7"/>
        <v>273.8</v>
      </c>
    </row>
    <row r="41" spans="1:13" x14ac:dyDescent="0.3">
      <c r="A41" s="35" t="s">
        <v>73</v>
      </c>
      <c r="B41" s="35" t="s">
        <v>33</v>
      </c>
      <c r="C41" s="35">
        <v>45266</v>
      </c>
      <c r="D41" s="35" t="s">
        <v>141</v>
      </c>
      <c r="E41" s="36">
        <v>45296</v>
      </c>
      <c r="F41" s="37" t="s">
        <v>126</v>
      </c>
      <c r="G41" s="36"/>
      <c r="H41" s="38"/>
      <c r="I41" s="38">
        <v>-265.3</v>
      </c>
      <c r="J41" s="38"/>
      <c r="K41" s="38"/>
      <c r="L41" s="38"/>
      <c r="M41" s="38">
        <f t="shared" si="7"/>
        <v>-265.3</v>
      </c>
    </row>
    <row r="42" spans="1:13" x14ac:dyDescent="0.3">
      <c r="A42" s="35" t="s">
        <v>73</v>
      </c>
      <c r="B42" s="35" t="s">
        <v>33</v>
      </c>
      <c r="C42" s="35">
        <v>45350</v>
      </c>
      <c r="D42" s="35" t="s">
        <v>139</v>
      </c>
      <c r="E42" s="36">
        <v>45342</v>
      </c>
      <c r="F42" s="37" t="s">
        <v>35</v>
      </c>
      <c r="G42" s="36"/>
      <c r="H42" s="38"/>
      <c r="I42" s="38">
        <v>257.39999999999998</v>
      </c>
      <c r="J42" s="38"/>
      <c r="K42" s="38">
        <v>130</v>
      </c>
      <c r="L42" s="38"/>
      <c r="M42" s="38">
        <f t="shared" si="7"/>
        <v>387.4</v>
      </c>
    </row>
    <row r="43" spans="1:13" x14ac:dyDescent="0.3">
      <c r="A43" s="35" t="s">
        <v>73</v>
      </c>
      <c r="B43" s="35" t="s">
        <v>33</v>
      </c>
      <c r="C43" s="35">
        <v>45357</v>
      </c>
      <c r="D43" s="35" t="s">
        <v>139</v>
      </c>
      <c r="E43" s="36">
        <v>45342</v>
      </c>
      <c r="F43" s="37" t="s">
        <v>35</v>
      </c>
      <c r="G43" s="36"/>
      <c r="H43" s="38"/>
      <c r="I43" s="38"/>
      <c r="J43" s="38"/>
      <c r="K43" s="38">
        <v>179.1</v>
      </c>
      <c r="L43" s="38"/>
      <c r="M43" s="38">
        <f t="shared" si="7"/>
        <v>179.1</v>
      </c>
    </row>
    <row r="44" spans="1:13" x14ac:dyDescent="0.3">
      <c r="A44" s="35" t="s">
        <v>73</v>
      </c>
      <c r="B44" s="35" t="s">
        <v>33</v>
      </c>
      <c r="C44" s="35">
        <v>45314</v>
      </c>
      <c r="D44" s="35" t="s">
        <v>139</v>
      </c>
      <c r="E44" s="36">
        <v>45347</v>
      </c>
      <c r="F44" s="37" t="s">
        <v>35</v>
      </c>
      <c r="G44" s="36"/>
      <c r="H44" s="38"/>
      <c r="I44" s="38">
        <v>-70.2</v>
      </c>
      <c r="J44" s="38"/>
      <c r="K44" s="38"/>
      <c r="L44" s="38"/>
      <c r="M44" s="38">
        <f t="shared" si="7"/>
        <v>-70.2</v>
      </c>
    </row>
    <row r="45" spans="1:13" x14ac:dyDescent="0.3">
      <c r="A45" s="35" t="s">
        <v>73</v>
      </c>
      <c r="B45" s="35" t="s">
        <v>33</v>
      </c>
      <c r="C45" s="36">
        <v>45363</v>
      </c>
      <c r="D45" s="35" t="s">
        <v>139</v>
      </c>
      <c r="E45" s="35">
        <v>45365</v>
      </c>
      <c r="F45" s="37" t="s">
        <v>35</v>
      </c>
      <c r="G45" s="38"/>
      <c r="H45" s="38"/>
      <c r="I45" s="38">
        <v>23.6</v>
      </c>
      <c r="J45" s="38"/>
      <c r="K45" s="38"/>
      <c r="L45" s="38"/>
      <c r="M45" s="38">
        <f t="shared" si="7"/>
        <v>23.6</v>
      </c>
    </row>
    <row r="46" spans="1:13" x14ac:dyDescent="0.3">
      <c r="A46" s="35" t="s">
        <v>73</v>
      </c>
      <c r="B46" s="35" t="s">
        <v>33</v>
      </c>
      <c r="C46" s="36">
        <v>45377</v>
      </c>
      <c r="D46" s="35" t="s">
        <v>139</v>
      </c>
      <c r="E46" s="35">
        <v>45398</v>
      </c>
      <c r="F46" s="37" t="s">
        <v>35</v>
      </c>
      <c r="G46" s="38"/>
      <c r="H46" s="38"/>
      <c r="I46" s="38">
        <v>78.900000000000006</v>
      </c>
      <c r="J46" s="38"/>
      <c r="K46" s="38"/>
      <c r="L46" s="38"/>
      <c r="M46" s="38">
        <f t="shared" si="7"/>
        <v>78.900000000000006</v>
      </c>
    </row>
    <row r="47" spans="1:13" x14ac:dyDescent="0.3">
      <c r="A47" s="35" t="s">
        <v>73</v>
      </c>
      <c r="B47" s="35" t="s">
        <v>33</v>
      </c>
      <c r="C47" s="36">
        <v>45377</v>
      </c>
      <c r="D47" s="35" t="s">
        <v>139</v>
      </c>
      <c r="E47" s="36">
        <v>45400</v>
      </c>
      <c r="F47" s="37" t="s">
        <v>35</v>
      </c>
      <c r="G47" s="38"/>
      <c r="H47" s="38"/>
      <c r="I47" s="38">
        <v>56.1</v>
      </c>
      <c r="J47" s="38"/>
      <c r="K47" s="38"/>
      <c r="L47" s="38"/>
      <c r="M47" s="38">
        <f t="shared" si="7"/>
        <v>56.1</v>
      </c>
    </row>
    <row r="48" spans="1:13" x14ac:dyDescent="0.3">
      <c r="A48" s="47" t="s">
        <v>73</v>
      </c>
      <c r="B48" s="39"/>
      <c r="C48" s="41"/>
      <c r="D48" s="42"/>
      <c r="E48" s="43"/>
      <c r="F48" s="39"/>
      <c r="G48" s="44">
        <f>SUM(G37:G47)</f>
        <v>0</v>
      </c>
      <c r="H48" s="44">
        <f t="shared" ref="H48:M48" si="11">SUM(H37:H47)</f>
        <v>0</v>
      </c>
      <c r="I48" s="44">
        <f t="shared" si="11"/>
        <v>465.30000000000007</v>
      </c>
      <c r="J48" s="44">
        <f t="shared" si="11"/>
        <v>18.350000000000001</v>
      </c>
      <c r="K48" s="44">
        <f t="shared" si="11"/>
        <v>482.9</v>
      </c>
      <c r="L48" s="44">
        <f t="shared" si="11"/>
        <v>0</v>
      </c>
      <c r="M48" s="44">
        <f t="shared" si="11"/>
        <v>966.55</v>
      </c>
    </row>
    <row r="49" spans="1:17" x14ac:dyDescent="0.3">
      <c r="A49" s="35" t="s">
        <v>44</v>
      </c>
      <c r="B49" s="35" t="s">
        <v>60</v>
      </c>
      <c r="C49" s="36">
        <v>45307</v>
      </c>
      <c r="D49" s="35" t="s">
        <v>139</v>
      </c>
      <c r="E49" s="35">
        <v>45308</v>
      </c>
      <c r="F49" s="37" t="s">
        <v>35</v>
      </c>
      <c r="G49" s="37"/>
      <c r="H49" s="38"/>
      <c r="I49" s="38">
        <v>90.7</v>
      </c>
      <c r="J49" s="38"/>
      <c r="K49" s="38"/>
      <c r="L49" s="38"/>
      <c r="M49" s="38">
        <f t="shared" si="7"/>
        <v>90.7</v>
      </c>
    </row>
    <row r="50" spans="1:17" x14ac:dyDescent="0.3">
      <c r="A50" s="35" t="s">
        <v>44</v>
      </c>
      <c r="B50" s="35" t="s">
        <v>60</v>
      </c>
      <c r="C50" s="36">
        <v>45357</v>
      </c>
      <c r="D50" s="35" t="s">
        <v>139</v>
      </c>
      <c r="E50" s="36">
        <v>45358</v>
      </c>
      <c r="F50" s="37" t="s">
        <v>35</v>
      </c>
      <c r="G50" s="37"/>
      <c r="H50" s="38"/>
      <c r="I50" s="38">
        <v>95.1</v>
      </c>
      <c r="J50" s="38"/>
      <c r="K50" s="38"/>
      <c r="L50" s="38"/>
      <c r="M50" s="38">
        <f t="shared" si="7"/>
        <v>95.1</v>
      </c>
    </row>
    <row r="51" spans="1:17" x14ac:dyDescent="0.3">
      <c r="A51" s="35" t="s">
        <v>44</v>
      </c>
      <c r="B51" s="35" t="s">
        <v>60</v>
      </c>
      <c r="C51" s="36">
        <v>45369</v>
      </c>
      <c r="D51" s="35" t="s">
        <v>139</v>
      </c>
      <c r="E51" s="36">
        <v>45371</v>
      </c>
      <c r="F51" s="37" t="s">
        <v>35</v>
      </c>
      <c r="G51" s="37"/>
      <c r="H51" s="38"/>
      <c r="I51" s="38">
        <v>95.1</v>
      </c>
      <c r="J51" s="38"/>
      <c r="K51" s="38"/>
      <c r="L51" s="38"/>
      <c r="M51" s="38">
        <f t="shared" si="7"/>
        <v>95.1</v>
      </c>
    </row>
    <row r="52" spans="1:17" x14ac:dyDescent="0.3">
      <c r="A52" s="47" t="s">
        <v>29</v>
      </c>
      <c r="B52" s="39"/>
      <c r="C52" s="41"/>
      <c r="D52" s="42"/>
      <c r="E52" s="43"/>
      <c r="F52" s="39"/>
      <c r="G52" s="44">
        <f>SUM(G49:G51)</f>
        <v>0</v>
      </c>
      <c r="H52" s="44">
        <f t="shared" ref="H52:M52" si="12">SUM(H49:H51)</f>
        <v>0</v>
      </c>
      <c r="I52" s="44">
        <f t="shared" si="12"/>
        <v>280.89999999999998</v>
      </c>
      <c r="J52" s="44">
        <f t="shared" si="12"/>
        <v>0</v>
      </c>
      <c r="K52" s="44">
        <f t="shared" si="12"/>
        <v>0</v>
      </c>
      <c r="L52" s="44">
        <f t="shared" si="12"/>
        <v>0</v>
      </c>
      <c r="M52" s="44">
        <f t="shared" si="12"/>
        <v>280.89999999999998</v>
      </c>
    </row>
    <row r="53" spans="1:17" x14ac:dyDescent="0.3">
      <c r="A53" s="35"/>
      <c r="B53" s="35"/>
      <c r="C53" s="36"/>
      <c r="D53" s="35"/>
      <c r="E53" s="36"/>
      <c r="F53" s="37"/>
      <c r="G53" s="38"/>
      <c r="H53" s="38"/>
      <c r="I53" s="38"/>
      <c r="J53" s="38"/>
      <c r="K53" s="38"/>
      <c r="L53" s="38"/>
      <c r="M53" s="38">
        <f t="shared" si="7"/>
        <v>0</v>
      </c>
    </row>
    <row r="54" spans="1:17" x14ac:dyDescent="0.3">
      <c r="A54" s="35"/>
      <c r="B54" s="35"/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 t="shared" si="7"/>
        <v>0</v>
      </c>
    </row>
    <row r="55" spans="1:17" x14ac:dyDescent="0.3">
      <c r="A55" s="40"/>
      <c r="B55" s="39"/>
      <c r="C55" s="41"/>
      <c r="D55" s="42"/>
      <c r="E55" s="43"/>
      <c r="F55" s="39"/>
      <c r="G55" s="44">
        <f>SUM(G53:G54)</f>
        <v>0</v>
      </c>
      <c r="H55" s="44">
        <f t="shared" ref="H55" si="13">SUM(H53:H54)</f>
        <v>0</v>
      </c>
      <c r="I55" s="44">
        <f t="shared" ref="I55" si="14">SUM(I53:I54)</f>
        <v>0</v>
      </c>
      <c r="J55" s="44">
        <f t="shared" ref="J55" si="15">SUM(J53:J54)</f>
        <v>0</v>
      </c>
      <c r="K55" s="44">
        <f t="shared" ref="K55" si="16">SUM(K53:K54)</f>
        <v>0</v>
      </c>
      <c r="L55" s="44">
        <f t="shared" ref="L55:M55" si="17">SUM(L53:L54)</f>
        <v>0</v>
      </c>
      <c r="M55" s="44">
        <f t="shared" si="17"/>
        <v>0</v>
      </c>
    </row>
    <row r="56" spans="1:17" ht="14.5" thickBot="1" x14ac:dyDescent="0.35">
      <c r="A56" s="3"/>
      <c r="B56" s="3"/>
      <c r="C56" s="4"/>
      <c r="D56" s="3"/>
      <c r="E56" s="3"/>
      <c r="F56" s="5"/>
      <c r="G56" s="6">
        <f>G4+G6+G9+G11+G13+G15+G17+G21+G36+G48+G52+G55</f>
        <v>2119.88</v>
      </c>
      <c r="H56" s="6">
        <f>H4+H6+H9+H11+H13+H15+H17+H21+H36+H48+H52+H55</f>
        <v>0</v>
      </c>
      <c r="I56" s="6">
        <f>I4+I6+I9+I11+I13+I15+I17+I21+I36+I48+I52+I55</f>
        <v>807.6</v>
      </c>
      <c r="J56" s="6">
        <f>J4+J6+J9+J11+J13+J15+J17+J21+J36+J48+J52+J55</f>
        <v>181.63000000000002</v>
      </c>
      <c r="K56" s="6">
        <f>K4+K6+K9+K11+K13+K15+K17+K21+K36+K48+K52+K55</f>
        <v>1238.3699999999999</v>
      </c>
      <c r="L56" s="6">
        <f>L4+L6+L9+L11+L13+L15+L17+L21+L36+L48+L52+L55</f>
        <v>27.9</v>
      </c>
      <c r="M56" s="6">
        <f>M4+M6+M9+M11+M13+M15+M17+M21+M36+M48+M52+M55</f>
        <v>4375.3799999999992</v>
      </c>
    </row>
    <row r="57" spans="1:17" ht="14.5" thickTop="1" x14ac:dyDescent="0.3">
      <c r="A57" s="7"/>
      <c r="B57" s="7"/>
      <c r="C57" s="8"/>
      <c r="D57" s="7"/>
      <c r="E57" s="7"/>
      <c r="F57" s="7"/>
      <c r="G57" s="9"/>
      <c r="H57" s="9"/>
      <c r="I57" s="9"/>
      <c r="J57" s="9"/>
      <c r="K57" s="9"/>
      <c r="L57" s="9"/>
      <c r="M57" s="9"/>
      <c r="Q57" s="11"/>
    </row>
    <row r="58" spans="1:17" x14ac:dyDescent="0.3">
      <c r="E58" s="12"/>
      <c r="F58" s="12"/>
      <c r="N58" s="10"/>
    </row>
    <row r="59" spans="1:17" ht="14.5" thickBot="1" x14ac:dyDescent="0.35">
      <c r="A59" s="7"/>
      <c r="B59" s="7"/>
      <c r="C59" s="8"/>
      <c r="D59" s="7"/>
      <c r="E59" s="7"/>
      <c r="F59" s="7"/>
      <c r="G59" s="9"/>
      <c r="H59" s="9"/>
      <c r="I59" s="9"/>
      <c r="J59" s="9"/>
      <c r="K59" s="9"/>
      <c r="L59" s="9"/>
      <c r="M59" s="9"/>
    </row>
    <row r="60" spans="1:17" ht="14.5" thickBot="1" x14ac:dyDescent="0.35">
      <c r="A60" s="7"/>
      <c r="B60" s="7"/>
      <c r="C60" s="7"/>
      <c r="D60" s="7"/>
      <c r="E60" s="7"/>
      <c r="F60" s="13" t="s">
        <v>13</v>
      </c>
      <c r="G60" s="14"/>
      <c r="H60" s="14"/>
      <c r="I60" s="14"/>
      <c r="J60" s="14"/>
      <c r="K60" s="14"/>
      <c r="L60" s="14"/>
      <c r="M60" s="15"/>
    </row>
    <row r="61" spans="1:17" ht="52" x14ac:dyDescent="0.3">
      <c r="A61" s="7"/>
      <c r="B61" s="7"/>
      <c r="C61" s="7"/>
      <c r="D61" s="7"/>
      <c r="E61" s="7"/>
      <c r="F61" s="16"/>
      <c r="G61" s="17" t="s">
        <v>6</v>
      </c>
      <c r="H61" s="18" t="s">
        <v>14</v>
      </c>
      <c r="I61" s="18" t="s">
        <v>15</v>
      </c>
      <c r="J61" s="18" t="s">
        <v>16</v>
      </c>
      <c r="K61" s="18" t="s">
        <v>10</v>
      </c>
      <c r="L61" s="18" t="s">
        <v>11</v>
      </c>
      <c r="M61" s="19" t="s">
        <v>17</v>
      </c>
    </row>
    <row r="62" spans="1:17" x14ac:dyDescent="0.3">
      <c r="A62" s="7"/>
      <c r="B62" s="7"/>
      <c r="C62" s="7"/>
      <c r="D62" s="7"/>
      <c r="E62" s="7"/>
      <c r="F62" s="20" t="s">
        <v>18</v>
      </c>
      <c r="G62" s="21">
        <f>G56-G63</f>
        <v>0</v>
      </c>
      <c r="H62" s="21">
        <f>H56-H63</f>
        <v>0</v>
      </c>
      <c r="I62" s="21">
        <f t="shared" ref="I62:M62" si="18">I56-I63</f>
        <v>0</v>
      </c>
      <c r="J62" s="21">
        <f t="shared" si="18"/>
        <v>73.450000000000017</v>
      </c>
      <c r="K62" s="21">
        <f>K56-K63</f>
        <v>191.29999999999973</v>
      </c>
      <c r="L62" s="21">
        <f t="shared" si="18"/>
        <v>0</v>
      </c>
      <c r="M62" s="21">
        <f t="shared" si="18"/>
        <v>264.75</v>
      </c>
    </row>
    <row r="63" spans="1:17" x14ac:dyDescent="0.3">
      <c r="A63" s="7"/>
      <c r="B63" s="7"/>
      <c r="C63" s="7"/>
      <c r="D63" s="7"/>
      <c r="E63" s="7"/>
      <c r="F63" s="20" t="s">
        <v>19</v>
      </c>
      <c r="G63" s="21">
        <f>G52+G48+G36+G21</f>
        <v>2119.88</v>
      </c>
      <c r="H63" s="21">
        <f>H52+H48+H36+H21</f>
        <v>0</v>
      </c>
      <c r="I63" s="21">
        <f>I52+I48+I36+I21</f>
        <v>807.6</v>
      </c>
      <c r="J63" s="21">
        <f>J52+J48+J36+J21</f>
        <v>108.18</v>
      </c>
      <c r="K63" s="21">
        <f>K52+K48+K36+K21</f>
        <v>1047.0700000000002</v>
      </c>
      <c r="L63" s="21">
        <f>L52+L48+L36+L21</f>
        <v>27.9</v>
      </c>
      <c r="M63" s="21">
        <f>M52+M48+M36+M21</f>
        <v>4110.6299999999992</v>
      </c>
    </row>
    <row r="64" spans="1:17" x14ac:dyDescent="0.3">
      <c r="A64" s="7"/>
      <c r="B64" s="7"/>
      <c r="C64" s="7"/>
      <c r="D64" s="7"/>
      <c r="E64" s="7"/>
      <c r="F64" s="22" t="s">
        <v>20</v>
      </c>
      <c r="G64" s="23">
        <f t="shared" ref="G64:L64" si="19">SUM(G62:G63)</f>
        <v>2119.88</v>
      </c>
      <c r="H64" s="23">
        <f>SUM(H62:H63)</f>
        <v>0</v>
      </c>
      <c r="I64" s="23">
        <f t="shared" si="19"/>
        <v>807.6</v>
      </c>
      <c r="J64" s="23">
        <f t="shared" si="19"/>
        <v>181.63000000000002</v>
      </c>
      <c r="K64" s="23">
        <f t="shared" si="19"/>
        <v>1238.3699999999999</v>
      </c>
      <c r="L64" s="23">
        <f t="shared" si="19"/>
        <v>27.9</v>
      </c>
      <c r="M64" s="24">
        <f>SUM(G64:L64)</f>
        <v>4375.3799999999992</v>
      </c>
      <c r="N64" s="25"/>
    </row>
    <row r="65" spans="1:13" ht="14.5" thickBot="1" x14ac:dyDescent="0.35">
      <c r="A65" s="7"/>
      <c r="B65" s="7"/>
      <c r="C65" s="7"/>
      <c r="D65" s="7"/>
      <c r="E65" s="7"/>
      <c r="F65" s="26" t="s">
        <v>21</v>
      </c>
      <c r="G65" s="27">
        <f t="shared" ref="G65:L65" si="20">SUM(G64:G64)</f>
        <v>2119.88</v>
      </c>
      <c r="H65" s="27">
        <f t="shared" si="20"/>
        <v>0</v>
      </c>
      <c r="I65" s="27">
        <f t="shared" si="20"/>
        <v>807.6</v>
      </c>
      <c r="J65" s="27">
        <f t="shared" si="20"/>
        <v>181.63000000000002</v>
      </c>
      <c r="K65" s="27">
        <f t="shared" si="20"/>
        <v>1238.3699999999999</v>
      </c>
      <c r="L65" s="27">
        <f t="shared" si="20"/>
        <v>27.9</v>
      </c>
      <c r="M65" s="28">
        <f>SUM(G65:L65)</f>
        <v>4375.3799999999992</v>
      </c>
    </row>
    <row r="66" spans="1:13" x14ac:dyDescent="0.3">
      <c r="A66" s="7"/>
      <c r="B66" s="7"/>
      <c r="C66" s="7"/>
      <c r="D66" s="7"/>
      <c r="E66" s="7"/>
      <c r="F66" s="7"/>
      <c r="G66" s="9"/>
      <c r="H66" s="9"/>
      <c r="I66" s="9"/>
      <c r="J66" s="9"/>
      <c r="K66" s="9"/>
      <c r="L66" s="9"/>
      <c r="M66" s="9"/>
    </row>
    <row r="68" spans="1:13" x14ac:dyDescent="0.3">
      <c r="M68" s="10"/>
    </row>
  </sheetData>
  <autoFilter ref="A2:M56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K26"/>
  <sheetViews>
    <sheetView tabSelected="1"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M19" sqref="M19"/>
    </sheetView>
  </sheetViews>
  <sheetFormatPr defaultColWidth="9.1796875" defaultRowHeight="14" x14ac:dyDescent="0.3"/>
  <cols>
    <col min="1" max="1" width="19.54296875" style="51" customWidth="1"/>
    <col min="2" max="2" width="29.81640625" style="51" customWidth="1"/>
    <col min="3" max="3" width="8.54296875" style="51" bestFit="1" customWidth="1"/>
    <col min="4" max="4" width="9.1796875" style="51"/>
    <col min="5" max="5" width="10.7265625" style="51" customWidth="1"/>
    <col min="6" max="9" width="9.1796875" style="51"/>
    <col min="10" max="10" width="9.54296875" style="51" bestFit="1" customWidth="1"/>
    <col min="11" max="11" width="9.1796875" style="51"/>
    <col min="12" max="12" width="9.54296875" style="51" bestFit="1" customWidth="1"/>
    <col min="13" max="13" width="9.1796875" style="51"/>
    <col min="14" max="14" width="17" style="51" customWidth="1"/>
    <col min="15" max="16384" width="9.1796875" style="51"/>
  </cols>
  <sheetData>
    <row r="1" spans="1:11" ht="22.5" x14ac:dyDescent="0.45">
      <c r="A1" s="49" t="s">
        <v>30</v>
      </c>
      <c r="B1" s="49"/>
      <c r="C1" s="49"/>
      <c r="D1" s="49"/>
      <c r="E1" s="49"/>
      <c r="F1" s="49"/>
      <c r="G1" s="49"/>
      <c r="H1" s="50"/>
      <c r="I1" s="50"/>
    </row>
    <row r="2" spans="1:11" ht="52" x14ac:dyDescent="0.3">
      <c r="A2" s="52" t="s">
        <v>0</v>
      </c>
      <c r="B2" s="52" t="s">
        <v>1</v>
      </c>
      <c r="C2" s="53" t="s">
        <v>6</v>
      </c>
      <c r="D2" s="53" t="s">
        <v>8</v>
      </c>
      <c r="E2" s="53" t="s">
        <v>27</v>
      </c>
      <c r="F2" s="53" t="s">
        <v>28</v>
      </c>
      <c r="G2" s="53" t="s">
        <v>10</v>
      </c>
      <c r="H2" s="53" t="s">
        <v>11</v>
      </c>
      <c r="I2" s="53" t="s">
        <v>12</v>
      </c>
    </row>
    <row r="3" spans="1:11" x14ac:dyDescent="0.3">
      <c r="A3" s="92" t="str">
        <f>'Apr - Jun 2023'!A3</f>
        <v>Berry, Lynne</v>
      </c>
      <c r="B3" s="54" t="s">
        <v>63</v>
      </c>
      <c r="C3" s="57"/>
      <c r="D3" s="57"/>
      <c r="E3" s="57"/>
      <c r="F3" s="57"/>
      <c r="G3" s="57"/>
      <c r="H3" s="57"/>
      <c r="I3" s="91">
        <f t="shared" ref="I3:I5" si="0">SUM(C3:H3)</f>
        <v>0</v>
      </c>
    </row>
    <row r="4" spans="1:11" x14ac:dyDescent="0.3">
      <c r="A4" s="92" t="str">
        <f>'Apr - Jun 2023'!A5</f>
        <v>Bowman, Deborah</v>
      </c>
      <c r="B4" s="56" t="s">
        <v>62</v>
      </c>
      <c r="C4" s="57"/>
      <c r="D4" s="57"/>
      <c r="E4" s="57"/>
      <c r="F4" s="57"/>
      <c r="G4" s="57"/>
      <c r="H4" s="57"/>
      <c r="I4" s="91">
        <f t="shared" si="0"/>
        <v>0</v>
      </c>
    </row>
    <row r="5" spans="1:11" x14ac:dyDescent="0.3">
      <c r="A5" s="92" t="str">
        <f>'Apr - Jun 2023'!A7</f>
        <v>Chakraborti, Tom</v>
      </c>
      <c r="B5" s="56" t="s">
        <v>62</v>
      </c>
      <c r="C5" s="57"/>
      <c r="D5" s="57"/>
      <c r="E5" s="57"/>
      <c r="F5" s="57"/>
      <c r="G5" s="57"/>
      <c r="H5" s="57"/>
      <c r="I5" s="91">
        <f t="shared" si="0"/>
        <v>0</v>
      </c>
    </row>
    <row r="6" spans="1:11" x14ac:dyDescent="0.3">
      <c r="A6" s="92" t="str">
        <f>'Apr - Jun 2023'!A9</f>
        <v>Crowe, Gary</v>
      </c>
      <c r="B6" s="56" t="s">
        <v>70</v>
      </c>
      <c r="C6" s="57">
        <f>SUM('Apr - Jun 2023'!G12+'Jul - Sep 2023'!G12+'Oct - Dec 2023'!G10+'Jan - Mar 2024'!G9)</f>
        <v>0</v>
      </c>
      <c r="D6" s="57">
        <f>SUM('Apr - Jun 2023'!H12+'Jul - Sep 2023'!H12+'Oct - Dec 2023'!H10+'Jan - Mar 2024'!H9)</f>
        <v>453.9</v>
      </c>
      <c r="E6" s="57">
        <f>SUM('Apr - Jun 2023'!I12+'Jul - Sep 2023'!I12+'Oct - Dec 2023'!I10+'Jan - Mar 2024'!I9)</f>
        <v>25</v>
      </c>
      <c r="F6" s="57">
        <f>SUM('Apr - Jun 2023'!J12+'Jul - Sep 2023'!J12+'Oct - Dec 2023'!J10+'Jan - Mar 2024'!J9)</f>
        <v>14.95</v>
      </c>
      <c r="G6" s="57">
        <f>SUM('Apr - Jun 2023'!K12+'Jul - Sep 2023'!K12+'Oct - Dec 2023'!K10+'Jan - Mar 2024'!K9)</f>
        <v>320.3</v>
      </c>
      <c r="H6" s="57">
        <f>SUM('Apr - Jun 2023'!L12+'Jul - Sep 2023'!L12+'Oct - Dec 2023'!L10+'Jan - Mar 2024'!L9)</f>
        <v>16.170000000000002</v>
      </c>
      <c r="I6" s="91">
        <f>SUM(C6:H6)</f>
        <v>830.31999999999994</v>
      </c>
    </row>
    <row r="7" spans="1:11" ht="14.5" x14ac:dyDescent="0.35">
      <c r="A7" s="92" t="str">
        <f>'Apr - Jun 2023'!A13</f>
        <v>Dodds, Helen</v>
      </c>
      <c r="B7" s="56" t="s">
        <v>62</v>
      </c>
      <c r="C7" s="57">
        <f>SUM('Apr - Jun 2023'!G16+'Jul - Sep 2023'!G16+'Oct - Dec 2023'!G13+'Jan - Mar 2024'!G11)</f>
        <v>0</v>
      </c>
      <c r="D7" s="57">
        <f>SUM('Apr - Jun 2023'!H16+'Jul - Sep 2023'!H16+'Oct - Dec 2023'!H13+'Jan - Mar 2024'!H11)</f>
        <v>231.49999999999997</v>
      </c>
      <c r="E7" s="57">
        <f>SUM('Apr - Jun 2023'!I16+'Jul - Sep 2023'!I16+'Oct - Dec 2023'!I13+'Jan - Mar 2024'!I11)</f>
        <v>52.45</v>
      </c>
      <c r="F7" s="57">
        <f>SUM('Apr - Jun 2023'!J16+'Jul - Sep 2023'!J16+'Oct - Dec 2023'!J13+'Jan - Mar 2024'!J11)</f>
        <v>58.5</v>
      </c>
      <c r="G7" s="57">
        <f>SUM('Apr - Jun 2023'!K16+'Jul - Sep 2023'!K16+'Oct - Dec 2023'!K13+'Jan - Mar 2024'!K11)</f>
        <v>14.3</v>
      </c>
      <c r="H7" s="57">
        <f>SUM('Apr - Jun 2023'!L16+'Jul - Sep 2023'!L16+'Oct - Dec 2023'!L13+'Jan - Mar 2024'!L11)</f>
        <v>0</v>
      </c>
      <c r="I7" s="91">
        <f t="shared" ref="I7:I17" si="1">SUM(C7:H7)</f>
        <v>356.75</v>
      </c>
      <c r="K7"/>
    </row>
    <row r="8" spans="1:11" ht="14.5" x14ac:dyDescent="0.35">
      <c r="A8" s="92" t="str">
        <f>'Apr - Jun 2023'!A17</f>
        <v>Donovan, Ellen</v>
      </c>
      <c r="B8" s="56" t="s">
        <v>62</v>
      </c>
      <c r="C8" s="57">
        <f>SUM('Apr - Jun 2023'!G18+'Jul - Sep 2023'!G18+'Oct - Dec 2023'!G16+'Jan - Mar 2024'!G13)</f>
        <v>0</v>
      </c>
      <c r="D8" s="57">
        <f>SUM('Apr - Jun 2023'!H18+'Jul - Sep 2023'!H18+'Oct - Dec 2023'!H16+'Jan - Mar 2024'!H13)</f>
        <v>288.39999999999998</v>
      </c>
      <c r="E8" s="57">
        <f>SUM('Apr - Jun 2023'!I18+'Jul - Sep 2023'!I18+'Oct - Dec 2023'!I16+'Jan - Mar 2024'!I13)</f>
        <v>13.45</v>
      </c>
      <c r="F8" s="57">
        <f>SUM('Apr - Jun 2023'!J18+'Jul - Sep 2023'!J18+'Oct - Dec 2023'!J16+'Jan - Mar 2024'!J13)</f>
        <v>0</v>
      </c>
      <c r="G8" s="57">
        <f>SUM('Apr - Jun 2023'!K18+'Jul - Sep 2023'!K18+'Oct - Dec 2023'!K16+'Jan - Mar 2024'!K13)</f>
        <v>7.99</v>
      </c>
      <c r="H8" s="57">
        <f>SUM('Apr - Jun 2023'!L18+'Jul - Sep 2023'!L18+'Oct - Dec 2023'!L16+'Jan - Mar 2024'!L13)</f>
        <v>0</v>
      </c>
      <c r="I8" s="91">
        <f t="shared" si="1"/>
        <v>309.83999999999997</v>
      </c>
      <c r="K8"/>
    </row>
    <row r="9" spans="1:11" ht="14.5" x14ac:dyDescent="0.35">
      <c r="A9" s="92" t="str">
        <f>'Apr - Jun 2023'!A19</f>
        <v>Greenfield, Andy</v>
      </c>
      <c r="B9" s="56" t="s">
        <v>62</v>
      </c>
      <c r="C9" s="57">
        <f>SUM('Apr - Jun 2023'!G20+'Jul - Sep 2023'!G22+'Oct - Dec 2023'!G19+'Jan - Mar 2024'!G15)</f>
        <v>0</v>
      </c>
      <c r="D9" s="57">
        <f>SUM('Apr - Jun 2023'!H20+'Jul - Sep 2023'!H22+'Oct - Dec 2023'!H19+'Jan - Mar 2024'!H15)</f>
        <v>194.70000000000002</v>
      </c>
      <c r="E9" s="57">
        <f>SUM('Apr - Jun 2023'!I20+'Jul - Sep 2023'!I22+'Oct - Dec 2023'!I19+'Jan - Mar 2024'!I15)</f>
        <v>13.4</v>
      </c>
      <c r="F9" s="57">
        <f>SUM('Apr - Jun 2023'!J20+'Jul - Sep 2023'!J22+'Oct - Dec 2023'!J19+'Jan - Mar 2024'!J15)</f>
        <v>0</v>
      </c>
      <c r="G9" s="57">
        <f>SUM('Apr - Jun 2023'!K20+'Jul - Sep 2023'!K22+'Oct - Dec 2023'!K19+'Jan - Mar 2024'!K15)</f>
        <v>0</v>
      </c>
      <c r="H9" s="57">
        <f>SUM('Apr - Jun 2023'!L20+'Jul - Sep 2023'!L22+'Oct - Dec 2023'!L19+'Jan - Mar 2024'!L15)</f>
        <v>0</v>
      </c>
      <c r="I9" s="91">
        <f t="shared" si="1"/>
        <v>208.10000000000002</v>
      </c>
      <c r="K9"/>
    </row>
    <row r="10" spans="1:11" ht="14.5" x14ac:dyDescent="0.35">
      <c r="A10" s="92" t="str">
        <f>'Apr - Jun 2023'!A21</f>
        <v>Lewis,  David</v>
      </c>
      <c r="B10" s="56" t="s">
        <v>62</v>
      </c>
      <c r="C10" s="57">
        <f>SUM('Apr - Jun 2023'!G23+'Jul - Sep 2023'!G29+'Oct - Dec 2023'!G22+'Jan - Mar 2024'!G17)</f>
        <v>0</v>
      </c>
      <c r="D10" s="57">
        <f>SUM('Apr - Jun 2023'!H23+'Jul - Sep 2023'!H29+'Oct - Dec 2023'!H22+'Jan - Mar 2024'!H17)</f>
        <v>234.9</v>
      </c>
      <c r="E10" s="57">
        <f>SUM('Apr - Jun 2023'!I23+'Jul - Sep 2023'!I29+'Oct - Dec 2023'!I22+'Jan - Mar 2024'!I17)</f>
        <v>57.7</v>
      </c>
      <c r="F10" s="57">
        <f>SUM('Apr - Jun 2023'!J23+'Jul - Sep 2023'!J29+'Oct - Dec 2023'!J22+'Jan - Mar 2024'!J17)</f>
        <v>0</v>
      </c>
      <c r="G10" s="57">
        <f>SUM('Apr - Jun 2023'!K23+'Jul - Sep 2023'!K29+'Oct - Dec 2023'!K22+'Jan - Mar 2024'!K17)</f>
        <v>242.18</v>
      </c>
      <c r="H10" s="57">
        <f>SUM('Apr - Jun 2023'!L23+'Jul - Sep 2023'!L29+'Oct - Dec 2023'!L22+'Jan - Mar 2024'!L17)</f>
        <v>0</v>
      </c>
      <c r="I10" s="91">
        <f t="shared" si="1"/>
        <v>534.78</v>
      </c>
      <c r="K10"/>
    </row>
    <row r="11" spans="1:11" ht="14.5" x14ac:dyDescent="0.35">
      <c r="A11" s="54"/>
      <c r="B11" s="54"/>
      <c r="C11" s="57"/>
      <c r="D11" s="57"/>
      <c r="E11" s="57"/>
      <c r="F11" s="57"/>
      <c r="G11" s="57"/>
      <c r="H11" s="57"/>
      <c r="I11" s="57"/>
      <c r="K11"/>
    </row>
    <row r="12" spans="1:11" ht="14.5" x14ac:dyDescent="0.35">
      <c r="A12" s="90" t="s">
        <v>74</v>
      </c>
      <c r="B12" s="56"/>
      <c r="C12" s="57">
        <f>'Apr - Jun 2023'!G33</f>
        <v>115.74</v>
      </c>
      <c r="D12" s="57">
        <f>'Apr - Jun 2023'!H33</f>
        <v>293.5</v>
      </c>
      <c r="E12" s="57">
        <f>'Apr - Jun 2023'!I33</f>
        <v>0</v>
      </c>
      <c r="F12" s="57">
        <f>'Apr - Jun 2023'!J33</f>
        <v>5.14</v>
      </c>
      <c r="G12" s="57">
        <f>'Apr - Jun 2023'!K33</f>
        <v>165.3</v>
      </c>
      <c r="H12" s="57">
        <f>'Apr - Jun 2023'!L33</f>
        <v>0</v>
      </c>
      <c r="I12" s="91">
        <f t="shared" si="1"/>
        <v>579.68000000000006</v>
      </c>
      <c r="K12"/>
    </row>
    <row r="13" spans="1:11" ht="14.5" x14ac:dyDescent="0.35">
      <c r="A13" s="92" t="s">
        <v>44</v>
      </c>
      <c r="B13" s="54"/>
      <c r="C13" s="38">
        <f>'Apr - Jun 2023'!G41+'Jul - Sep 2023'!G38+'Oct - Dec 2023'!G29+'Jan - Mar 2024'!G52</f>
        <v>282.91000000000003</v>
      </c>
      <c r="D13" s="38">
        <f>'Apr - Jun 2023'!H41+'Jul - Sep 2023'!H38+'Oct - Dec 2023'!H29+'Jan - Mar 2024'!H52</f>
        <v>1306.6000000000001</v>
      </c>
      <c r="E13" s="38">
        <f>'Apr - Jun 2023'!I41+'Jul - Sep 2023'!I38+'Oct - Dec 2023'!I29+'Jan - Mar 2024'!I52</f>
        <v>292.59999999999997</v>
      </c>
      <c r="F13" s="38">
        <f>'Apr - Jun 2023'!J41+'Jul - Sep 2023'!J38+'Oct - Dec 2023'!J29+'Jan - Mar 2024'!J52</f>
        <v>29.8</v>
      </c>
      <c r="G13" s="38">
        <f>'Apr - Jun 2023'!K41+'Jul - Sep 2023'!K38+'Oct - Dec 2023'!K29+'Jan - Mar 2024'!K52</f>
        <v>195.36</v>
      </c>
      <c r="H13" s="38">
        <f>'Apr - Jun 2023'!L41+'Jul - Sep 2023'!L38+'Oct - Dec 2023'!L29+'Jan - Mar 2024'!L52</f>
        <v>14.7</v>
      </c>
      <c r="I13" s="91">
        <f t="shared" si="1"/>
        <v>2121.9699999999998</v>
      </c>
      <c r="J13" s="93"/>
      <c r="K13"/>
    </row>
    <row r="14" spans="1:11" ht="14.5" x14ac:dyDescent="0.35">
      <c r="A14" s="92" t="s">
        <v>59</v>
      </c>
      <c r="B14" s="54"/>
      <c r="C14" s="57">
        <f>'Apr - Jun 2023'!G52+'Jul - Sep 2023'!G48+'Oct - Dec 2023'!G43+'Jan - Mar 2024'!G48</f>
        <v>112.24</v>
      </c>
      <c r="D14" s="57">
        <f>'Apr - Jun 2023'!H52+'Jul - Sep 2023'!H48+'Oct - Dec 2023'!H43+'Jan - Mar 2024'!H48</f>
        <v>2938.82</v>
      </c>
      <c r="E14" s="57">
        <f>'Apr - Jun 2023'!I52+'Jul - Sep 2023'!I48+'Oct - Dec 2023'!I43+'Jan - Mar 2024'!I48</f>
        <v>477.30000000000007</v>
      </c>
      <c r="F14" s="57">
        <f>'Apr - Jun 2023'!J52+'Jul - Sep 2023'!J48+'Oct - Dec 2023'!J43+'Jan - Mar 2024'!J48</f>
        <v>18.350000000000001</v>
      </c>
      <c r="G14" s="57">
        <f>'Apr - Jun 2023'!K52+'Jul - Sep 2023'!K48+'Oct - Dec 2023'!K43+'Jan - Mar 2024'!K48</f>
        <v>2971.73</v>
      </c>
      <c r="H14" s="57">
        <f>'Apr - Jun 2023'!L52+'Jul - Sep 2023'!L48+'Oct - Dec 2023'!L43+'Jan - Mar 2024'!L48</f>
        <v>249</v>
      </c>
      <c r="I14" s="91">
        <f t="shared" si="1"/>
        <v>6767.4400000000005</v>
      </c>
      <c r="J14" s="93"/>
      <c r="K14"/>
    </row>
    <row r="15" spans="1:11" ht="14.5" x14ac:dyDescent="0.35">
      <c r="A15" s="92" t="s">
        <v>138</v>
      </c>
      <c r="B15" s="54"/>
      <c r="C15" s="57"/>
      <c r="D15" s="57"/>
      <c r="E15" s="57"/>
      <c r="F15" s="57"/>
      <c r="G15" s="57"/>
      <c r="H15" s="57"/>
      <c r="I15" s="91">
        <f t="shared" si="1"/>
        <v>0</v>
      </c>
      <c r="J15" s="93"/>
      <c r="K15"/>
    </row>
    <row r="16" spans="1:11" ht="14.5" x14ac:dyDescent="0.35">
      <c r="A16" s="92" t="s">
        <v>31</v>
      </c>
      <c r="B16" s="56"/>
      <c r="C16" s="57">
        <f>'Apr - Jun 2023'!G66+'Jul - Sep 2023'!G67+'Oct - Dec 2023'!G51+'Jan - Mar 2024'!G36</f>
        <v>7679.9099999999989</v>
      </c>
      <c r="D16" s="57">
        <f>'Apr - Jun 2023'!H66+'Jul - Sep 2023'!H67+'Oct - Dec 2023'!H51+'Jan - Mar 2024'!H36</f>
        <v>96.339999999999989</v>
      </c>
      <c r="E16" s="57">
        <f>'Apr - Jun 2023'!I66+'Jul - Sep 2023'!I67+'Oct - Dec 2023'!I51+'Jan - Mar 2024'!I36</f>
        <v>844.92000000000007</v>
      </c>
      <c r="F16" s="57">
        <f>'Apr - Jun 2023'!J66+'Jul - Sep 2023'!J67+'Oct - Dec 2023'!J51+'Jan - Mar 2024'!J36</f>
        <v>89.830000000000013</v>
      </c>
      <c r="G16" s="57">
        <f>'Apr - Jun 2023'!K66+'Jul - Sep 2023'!K67+'Oct - Dec 2023'!K51+'Jan - Mar 2024'!K36</f>
        <v>3631.59</v>
      </c>
      <c r="H16" s="57">
        <f>'Apr - Jun 2023'!L66+'Jul - Sep 2023'!L67+'Oct - Dec 2023'!L51+'Jan - Mar 2024'!L36</f>
        <v>42.89</v>
      </c>
      <c r="I16" s="91">
        <f t="shared" si="1"/>
        <v>12385.479999999998</v>
      </c>
      <c r="J16" s="93"/>
      <c r="K16"/>
    </row>
    <row r="17" spans="1:10" x14ac:dyDescent="0.3">
      <c r="A17" s="92" t="s">
        <v>45</v>
      </c>
      <c r="B17" s="54"/>
      <c r="C17" s="38">
        <f>'Apr - Jun 2023'!G69</f>
        <v>326.91000000000003</v>
      </c>
      <c r="D17" s="38">
        <f>'Apr - Jun 2023'!H69</f>
        <v>0</v>
      </c>
      <c r="E17" s="38">
        <f>'Apr - Jun 2023'!I69</f>
        <v>0</v>
      </c>
      <c r="F17" s="38">
        <f>'Apr - Jun 2023'!J69</f>
        <v>0</v>
      </c>
      <c r="G17" s="38">
        <f>'Apr - Jun 2023'!K69</f>
        <v>157.05000000000001</v>
      </c>
      <c r="H17" s="38">
        <f>'Apr - Jun 2023'!L69</f>
        <v>0</v>
      </c>
      <c r="I17" s="91">
        <f t="shared" si="1"/>
        <v>483.96000000000004</v>
      </c>
      <c r="J17" s="93"/>
    </row>
    <row r="18" spans="1:10" x14ac:dyDescent="0.3">
      <c r="A18" s="90"/>
      <c r="B18" s="56"/>
      <c r="C18" s="91"/>
      <c r="D18" s="91"/>
      <c r="E18" s="91"/>
      <c r="F18" s="91"/>
      <c r="G18" s="91"/>
      <c r="H18" s="91"/>
      <c r="I18" s="91"/>
    </row>
    <row r="19" spans="1:10" x14ac:dyDescent="0.3">
      <c r="A19" s="64" t="s">
        <v>17</v>
      </c>
      <c r="B19" s="65"/>
      <c r="C19" s="69">
        <f>SUM(C3:C17)</f>
        <v>8517.7099999999991</v>
      </c>
      <c r="D19" s="69">
        <f t="shared" ref="D19:I19" si="2">SUM(D3:D17)</f>
        <v>6038.66</v>
      </c>
      <c r="E19" s="69">
        <f t="shared" si="2"/>
        <v>1776.8200000000002</v>
      </c>
      <c r="F19" s="69">
        <f t="shared" si="2"/>
        <v>216.57000000000002</v>
      </c>
      <c r="G19" s="69">
        <f t="shared" si="2"/>
        <v>7705.8</v>
      </c>
      <c r="H19" s="69">
        <f t="shared" si="2"/>
        <v>322.76</v>
      </c>
      <c r="I19" s="69">
        <f t="shared" si="2"/>
        <v>24578.32</v>
      </c>
    </row>
    <row r="20" spans="1:10" ht="14.5" thickBot="1" x14ac:dyDescent="0.35"/>
    <row r="21" spans="1:10" ht="14.5" thickBot="1" x14ac:dyDescent="0.35">
      <c r="C21" s="70"/>
      <c r="D21" s="70"/>
      <c r="E21" s="70"/>
      <c r="F21" s="70"/>
      <c r="G21" s="70"/>
      <c r="H21" s="70"/>
      <c r="I21" s="71"/>
    </row>
    <row r="22" spans="1:10" ht="52" x14ac:dyDescent="0.3">
      <c r="B22" s="72"/>
      <c r="C22" s="73" t="s">
        <v>6</v>
      </c>
      <c r="D22" s="74" t="s">
        <v>8</v>
      </c>
      <c r="E22" s="74" t="s">
        <v>27</v>
      </c>
      <c r="F22" s="74" t="s">
        <v>28</v>
      </c>
      <c r="G22" s="74" t="s">
        <v>10</v>
      </c>
      <c r="H22" s="74" t="s">
        <v>11</v>
      </c>
      <c r="I22" s="75" t="s">
        <v>12</v>
      </c>
    </row>
    <row r="23" spans="1:10" x14ac:dyDescent="0.3">
      <c r="B23" s="76" t="s">
        <v>18</v>
      </c>
      <c r="C23" s="77">
        <f>SUM(C3:C10)</f>
        <v>0</v>
      </c>
      <c r="D23" s="77">
        <f t="shared" ref="D23:H23" si="3">SUM(D3:D10)</f>
        <v>1403.4</v>
      </c>
      <c r="E23" s="77">
        <f t="shared" si="3"/>
        <v>162</v>
      </c>
      <c r="F23" s="77">
        <f t="shared" si="3"/>
        <v>73.45</v>
      </c>
      <c r="G23" s="77">
        <f t="shared" si="3"/>
        <v>584.77</v>
      </c>
      <c r="H23" s="77">
        <f t="shared" si="3"/>
        <v>16.170000000000002</v>
      </c>
      <c r="I23" s="77">
        <f>SUM(I3:I10)</f>
        <v>2239.79</v>
      </c>
    </row>
    <row r="24" spans="1:10" x14ac:dyDescent="0.3">
      <c r="B24" s="76" t="s">
        <v>19</v>
      </c>
      <c r="C24" s="77">
        <f>SUM(C12:C17)</f>
        <v>8517.7099999999991</v>
      </c>
      <c r="D24" s="77">
        <f t="shared" ref="D24:H24" si="4">SUM(D12:D17)</f>
        <v>4635.26</v>
      </c>
      <c r="E24" s="77">
        <f t="shared" si="4"/>
        <v>1614.8200000000002</v>
      </c>
      <c r="F24" s="77">
        <f t="shared" si="4"/>
        <v>143.12</v>
      </c>
      <c r="G24" s="77">
        <f t="shared" si="4"/>
        <v>7121.03</v>
      </c>
      <c r="H24" s="77">
        <f t="shared" si="4"/>
        <v>306.58999999999997</v>
      </c>
      <c r="I24" s="77">
        <f>SUM(I12:I17)</f>
        <v>22338.53</v>
      </c>
    </row>
    <row r="25" spans="1:10" x14ac:dyDescent="0.3">
      <c r="B25" s="78" t="s">
        <v>20</v>
      </c>
      <c r="C25" s="79">
        <f t="shared" ref="C25:H25" si="5">SUM(C23:C24)</f>
        <v>8517.7099999999991</v>
      </c>
      <c r="D25" s="79">
        <f t="shared" si="5"/>
        <v>6038.66</v>
      </c>
      <c r="E25" s="79">
        <f t="shared" si="5"/>
        <v>1776.8200000000002</v>
      </c>
      <c r="F25" s="79">
        <f t="shared" si="5"/>
        <v>216.57</v>
      </c>
      <c r="G25" s="79">
        <f t="shared" si="5"/>
        <v>7705.7999999999993</v>
      </c>
      <c r="H25" s="79">
        <f t="shared" si="5"/>
        <v>322.76</v>
      </c>
      <c r="I25" s="80">
        <f>SUM(C25:H25)</f>
        <v>24578.319999999996</v>
      </c>
    </row>
    <row r="26" spans="1:10" ht="14.5" thickBot="1" x14ac:dyDescent="0.35">
      <c r="B26" s="81" t="s">
        <v>21</v>
      </c>
      <c r="C26" s="82">
        <f t="shared" ref="C26:H26" si="6">SUM(C25:C25)</f>
        <v>8517.7099999999991</v>
      </c>
      <c r="D26" s="82">
        <f t="shared" si="6"/>
        <v>6038.66</v>
      </c>
      <c r="E26" s="82">
        <f t="shared" si="6"/>
        <v>1776.8200000000002</v>
      </c>
      <c r="F26" s="82">
        <f t="shared" si="6"/>
        <v>216.57</v>
      </c>
      <c r="G26" s="82">
        <f t="shared" si="6"/>
        <v>7705.7999999999993</v>
      </c>
      <c r="H26" s="82">
        <f t="shared" si="6"/>
        <v>322.76</v>
      </c>
      <c r="I26" s="83">
        <f>SUM(C26:H26)</f>
        <v>24578.319999999996</v>
      </c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AD75TJCKWPSD-255675493-37725</_dlc_DocId>
    <_dlc_DocIdUrl xmlns="da565c07-dda8-49d0-af77-97162e211c3a">
      <Url>https://htagovuk.sharepoint.com/sites/edrms/groups/_layouts/15/DocIdRedir.aspx?ID=AD75TJCKWPSD-255675493-37725</Url>
      <Description>AD75TJCKWPSD-255675493-37725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3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3E76424-4773-496A-8D02-EC071B5D2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2023</vt:lpstr>
      <vt:lpstr>Jul - Sep 2023</vt:lpstr>
      <vt:lpstr>Oct - Dec 2023</vt:lpstr>
      <vt:lpstr>Jan - Mar 2024</vt:lpstr>
      <vt:lpstr>Summary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Chenai Jakachira</cp:lastModifiedBy>
  <cp:lastPrinted>2024-01-31T15:25:36Z</cp:lastPrinted>
  <dcterms:created xsi:type="dcterms:W3CDTF">2018-02-13T11:20:13Z</dcterms:created>
  <dcterms:modified xsi:type="dcterms:W3CDTF">2024-04-09T15:42:43Z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bebc19a5-5896-4c65-acbe-ae917d645830</vt:lpwstr>
  </property>
  <property fmtid="{D5CDD505-2E9C-101B-9397-08002B2CF9AE}" pid="10" name="MediaServiceImageTags">
    <vt:lpwstr/>
  </property>
</Properties>
</file>