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2022-23/Month End Schedules 2022-23/Transparency Data/"/>
    </mc:Choice>
  </mc:AlternateContent>
  <xr:revisionPtr revIDLastSave="444" documentId="14_{3EEE2164-F532-4C78-A0F5-624A6D2268C8}" xr6:coauthVersionLast="47" xr6:coauthVersionMax="47" xr10:uidLastSave="{581EA198-69DE-48F2-9BC1-D7D67A2023D3}"/>
  <bookViews>
    <workbookView xWindow="-120" yWindow="-120" windowWidth="29040" windowHeight="15840" activeTab="4" xr2:uid="{00000000-000D-0000-FFFF-FFFF00000000}"/>
  </bookViews>
  <sheets>
    <sheet name="Apr - Jun 2022" sheetId="1" r:id="rId1"/>
    <sheet name="Jul - Sep 2022" sheetId="2" r:id="rId2"/>
    <sheet name="Oct - Dec 2022" sheetId="3" r:id="rId3"/>
    <sheet name="Jan - Mar 2023" sheetId="4" r:id="rId4"/>
    <sheet name="Summary 2022_23" sheetId="12" r:id="rId5"/>
  </sheets>
  <definedNames>
    <definedName name="_xlnm._FilterDatabase" localSheetId="3" hidden="1">'Jan - Mar 2023'!$A$2:$M$70</definedName>
    <definedName name="_xlnm._FilterDatabase" localSheetId="4" hidden="1">'Summary 2022_23'!$A$2:$I$2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E16" i="12"/>
  <c r="F16" i="12"/>
  <c r="G16" i="12"/>
  <c r="I16" i="12" s="1"/>
  <c r="H16" i="12"/>
  <c r="C16" i="12"/>
  <c r="D15" i="12"/>
  <c r="E15" i="12"/>
  <c r="F15" i="12"/>
  <c r="I15" i="12" s="1"/>
  <c r="G15" i="12"/>
  <c r="H15" i="12"/>
  <c r="C15" i="12"/>
  <c r="D14" i="12"/>
  <c r="E14" i="12"/>
  <c r="F14" i="12"/>
  <c r="I14" i="12" s="1"/>
  <c r="G14" i="12"/>
  <c r="H14" i="12"/>
  <c r="C14" i="12"/>
  <c r="I13" i="12"/>
  <c r="D13" i="12"/>
  <c r="E13" i="12"/>
  <c r="F13" i="12"/>
  <c r="G13" i="12"/>
  <c r="H13" i="12"/>
  <c r="C13" i="12"/>
  <c r="K44" i="4"/>
  <c r="I44" i="4"/>
  <c r="M44" i="4" s="1"/>
  <c r="G24" i="4"/>
  <c r="H24" i="4"/>
  <c r="I24" i="4"/>
  <c r="J24" i="4"/>
  <c r="K24" i="4"/>
  <c r="L24" i="4"/>
  <c r="M19" i="4"/>
  <c r="M20" i="4"/>
  <c r="M21" i="4"/>
  <c r="M22" i="4"/>
  <c r="M23" i="4"/>
  <c r="M25" i="4"/>
  <c r="M26" i="4"/>
  <c r="M27" i="4"/>
  <c r="M28" i="4"/>
  <c r="J29" i="4"/>
  <c r="M29" i="4" s="1"/>
  <c r="I50" i="4"/>
  <c r="M50" i="4" s="1"/>
  <c r="K51" i="4"/>
  <c r="I52" i="4"/>
  <c r="M52" i="4" s="1"/>
  <c r="I51" i="4"/>
  <c r="I55" i="4"/>
  <c r="M55" i="4" s="1"/>
  <c r="M53" i="4"/>
  <c r="M54" i="4"/>
  <c r="M56" i="4"/>
  <c r="M57" i="4"/>
  <c r="K34" i="4"/>
  <c r="M34" i="4" s="1"/>
  <c r="I61" i="4"/>
  <c r="M61" i="4" s="1"/>
  <c r="G66" i="4"/>
  <c r="H66" i="4"/>
  <c r="J66" i="4"/>
  <c r="K66" i="4"/>
  <c r="L66" i="4"/>
  <c r="M64" i="4"/>
  <c r="M63" i="4"/>
  <c r="M62" i="4"/>
  <c r="M60" i="4"/>
  <c r="M59" i="4"/>
  <c r="L36" i="4"/>
  <c r="L42" i="4" s="1"/>
  <c r="G40" i="4"/>
  <c r="G36" i="4"/>
  <c r="G38" i="4"/>
  <c r="M38" i="4" s="1"/>
  <c r="M35" i="4"/>
  <c r="M37" i="4"/>
  <c r="M39" i="4"/>
  <c r="M41" i="4"/>
  <c r="M45" i="4"/>
  <c r="M46" i="4"/>
  <c r="M47" i="4"/>
  <c r="M48" i="4"/>
  <c r="M49" i="4"/>
  <c r="H42" i="4"/>
  <c r="I42" i="4"/>
  <c r="M30" i="4"/>
  <c r="M31" i="4"/>
  <c r="M32" i="4"/>
  <c r="M33" i="4"/>
  <c r="H10" i="12"/>
  <c r="G10" i="12"/>
  <c r="F10" i="12"/>
  <c r="E10" i="12"/>
  <c r="D10" i="12"/>
  <c r="C10" i="12"/>
  <c r="I5" i="12"/>
  <c r="I4" i="12"/>
  <c r="I3" i="12"/>
  <c r="L9" i="4"/>
  <c r="H6" i="12" s="1"/>
  <c r="H9" i="4"/>
  <c r="D6" i="12" s="1"/>
  <c r="G9" i="4"/>
  <c r="C6" i="12" s="1"/>
  <c r="H22" i="3"/>
  <c r="G11" i="1"/>
  <c r="I8" i="4"/>
  <c r="I9" i="4" s="1"/>
  <c r="E6" i="12" s="1"/>
  <c r="I27" i="3"/>
  <c r="K27" i="3"/>
  <c r="H27" i="3"/>
  <c r="I19" i="3"/>
  <c r="K7" i="4"/>
  <c r="J7" i="4"/>
  <c r="K8" i="4"/>
  <c r="J8" i="4"/>
  <c r="J14" i="4"/>
  <c r="I14" i="4"/>
  <c r="I10" i="4"/>
  <c r="I16" i="4"/>
  <c r="J12" i="4"/>
  <c r="A11" i="12"/>
  <c r="A10" i="12"/>
  <c r="A9" i="12"/>
  <c r="A8" i="12"/>
  <c r="A7" i="12"/>
  <c r="A6" i="12"/>
  <c r="A5" i="12"/>
  <c r="A4" i="12"/>
  <c r="A3" i="12"/>
  <c r="J42" i="4" l="1"/>
  <c r="M51" i="4"/>
  <c r="M36" i="4"/>
  <c r="I66" i="4"/>
  <c r="K42" i="4"/>
  <c r="G42" i="4"/>
  <c r="M40" i="4"/>
  <c r="K9" i="4"/>
  <c r="G6" i="12" s="1"/>
  <c r="M7" i="4"/>
  <c r="I10" i="12"/>
  <c r="J9" i="4"/>
  <c r="F6" i="12" s="1"/>
  <c r="M8" i="4"/>
  <c r="M53" i="3"/>
  <c r="L53" i="3"/>
  <c r="K53" i="3"/>
  <c r="J53" i="3"/>
  <c r="I53" i="3"/>
  <c r="G53" i="3"/>
  <c r="H53" i="3"/>
  <c r="H66" i="3"/>
  <c r="H67" i="3"/>
  <c r="G78" i="3"/>
  <c r="H87" i="3"/>
  <c r="K88" i="3"/>
  <c r="H48" i="3"/>
  <c r="H47" i="3"/>
  <c r="K47" i="3"/>
  <c r="M47" i="3" s="1"/>
  <c r="M67" i="3"/>
  <c r="M68" i="3"/>
  <c r="M69" i="3"/>
  <c r="M70" i="3"/>
  <c r="M71" i="3"/>
  <c r="M72" i="3"/>
  <c r="M73" i="3"/>
  <c r="M74" i="3"/>
  <c r="M75" i="3"/>
  <c r="M76" i="3"/>
  <c r="H64" i="3"/>
  <c r="M64" i="3" s="1"/>
  <c r="H65" i="3"/>
  <c r="M65" i="3" s="1"/>
  <c r="M66" i="3"/>
  <c r="M63" i="3"/>
  <c r="G61" i="3"/>
  <c r="K61" i="3"/>
  <c r="H46" i="3"/>
  <c r="M44" i="3"/>
  <c r="M43" i="3"/>
  <c r="H17" i="3"/>
  <c r="L78" i="3"/>
  <c r="J78" i="3"/>
  <c r="I78" i="3"/>
  <c r="M77" i="3"/>
  <c r="M62" i="3"/>
  <c r="I18" i="3"/>
  <c r="H18" i="3"/>
  <c r="H19" i="3"/>
  <c r="M19" i="3" s="1"/>
  <c r="K18" i="3"/>
  <c r="M20" i="3"/>
  <c r="M21" i="3"/>
  <c r="M60" i="3"/>
  <c r="M59" i="3"/>
  <c r="M52" i="3"/>
  <c r="M51" i="3"/>
  <c r="M50" i="3"/>
  <c r="M49" i="3"/>
  <c r="M48" i="3"/>
  <c r="H85" i="3"/>
  <c r="M85" i="3" s="1"/>
  <c r="M86" i="3"/>
  <c r="M84" i="3"/>
  <c r="H58" i="3"/>
  <c r="M58" i="3" s="1"/>
  <c r="H80" i="3"/>
  <c r="L87" i="3"/>
  <c r="K87" i="3"/>
  <c r="J87" i="3"/>
  <c r="I87" i="3"/>
  <c r="G87" i="3"/>
  <c r="M81" i="3"/>
  <c r="M83" i="3"/>
  <c r="M82" i="3"/>
  <c r="K57" i="3"/>
  <c r="M57" i="3" s="1"/>
  <c r="K56" i="3"/>
  <c r="M56" i="3" s="1"/>
  <c r="K55" i="3"/>
  <c r="M55" i="3" s="1"/>
  <c r="K54" i="3"/>
  <c r="M42" i="3"/>
  <c r="M41" i="3"/>
  <c r="M40" i="3"/>
  <c r="M45" i="3"/>
  <c r="G22" i="3"/>
  <c r="L26" i="3"/>
  <c r="K26" i="3"/>
  <c r="J26" i="3"/>
  <c r="I26" i="3"/>
  <c r="H26" i="3"/>
  <c r="L30" i="3"/>
  <c r="K30" i="3"/>
  <c r="J30" i="3"/>
  <c r="I30" i="3"/>
  <c r="H30" i="3"/>
  <c r="G30" i="3"/>
  <c r="L34" i="3"/>
  <c r="K34" i="3"/>
  <c r="J34" i="3"/>
  <c r="I34" i="3"/>
  <c r="H34" i="3"/>
  <c r="G34" i="3"/>
  <c r="L38" i="3"/>
  <c r="K38" i="3"/>
  <c r="J38" i="3"/>
  <c r="I38" i="3"/>
  <c r="G38" i="3"/>
  <c r="J46" i="3"/>
  <c r="I46" i="3"/>
  <c r="G46" i="3"/>
  <c r="L46" i="3"/>
  <c r="M39" i="3"/>
  <c r="H35" i="3"/>
  <c r="H38" i="3" s="1"/>
  <c r="I17" i="3"/>
  <c r="M14" i="3"/>
  <c r="M13" i="3"/>
  <c r="M3" i="3"/>
  <c r="M32" i="3"/>
  <c r="M31" i="3"/>
  <c r="M42" i="4" l="1"/>
  <c r="I6" i="12"/>
  <c r="M9" i="4"/>
  <c r="M61" i="3"/>
  <c r="K78" i="3"/>
  <c r="H78" i="3"/>
  <c r="M80" i="3"/>
  <c r="M35" i="3"/>
  <c r="K46" i="3"/>
  <c r="M46" i="3"/>
  <c r="H27" i="2"/>
  <c r="I27" i="2"/>
  <c r="J27" i="2"/>
  <c r="K27" i="2"/>
  <c r="L27" i="2"/>
  <c r="G27" i="2"/>
  <c r="M23" i="1"/>
  <c r="M24" i="1"/>
  <c r="M25" i="1"/>
  <c r="M26" i="1"/>
  <c r="M27" i="1"/>
  <c r="G28" i="1"/>
  <c r="G25" i="2"/>
  <c r="H24" i="2"/>
  <c r="K31" i="1"/>
  <c r="M31" i="1" s="1"/>
  <c r="M29" i="1"/>
  <c r="G30" i="2"/>
  <c r="M30" i="2" s="1"/>
  <c r="H29" i="2"/>
  <c r="M29" i="2" s="1"/>
  <c r="H28" i="2"/>
  <c r="M28" i="2" s="1"/>
  <c r="M31" i="2"/>
  <c r="I32" i="2"/>
  <c r="J32" i="2"/>
  <c r="K32" i="2"/>
  <c r="L32" i="2"/>
  <c r="H41" i="1"/>
  <c r="I41" i="1"/>
  <c r="J41" i="1"/>
  <c r="K41" i="1"/>
  <c r="L41" i="1"/>
  <c r="G41" i="1"/>
  <c r="M37" i="1"/>
  <c r="M35" i="1"/>
  <c r="M36" i="1"/>
  <c r="M26" i="2"/>
  <c r="M10" i="1"/>
  <c r="L43" i="1"/>
  <c r="K43" i="1"/>
  <c r="J43" i="1"/>
  <c r="I43" i="1"/>
  <c r="H43" i="1"/>
  <c r="G43" i="1"/>
  <c r="M42" i="1"/>
  <c r="M43" i="1" s="1"/>
  <c r="M38" i="1"/>
  <c r="M39" i="1"/>
  <c r="M34" i="1"/>
  <c r="L33" i="1"/>
  <c r="J33" i="1"/>
  <c r="I33" i="1"/>
  <c r="H33" i="1"/>
  <c r="G33" i="1"/>
  <c r="M32" i="1"/>
  <c r="M30" i="1"/>
  <c r="L28" i="1"/>
  <c r="K28" i="1"/>
  <c r="J28" i="1"/>
  <c r="I28" i="1"/>
  <c r="H28" i="1"/>
  <c r="M22" i="1"/>
  <c r="L21" i="1"/>
  <c r="K21" i="1"/>
  <c r="J21" i="1"/>
  <c r="I21" i="1"/>
  <c r="H21" i="1"/>
  <c r="G21" i="1"/>
  <c r="M20" i="1"/>
  <c r="L19" i="1"/>
  <c r="K19" i="1"/>
  <c r="J19" i="1"/>
  <c r="I19" i="1"/>
  <c r="H19" i="1"/>
  <c r="G19" i="1"/>
  <c r="M18" i="1"/>
  <c r="L17" i="1"/>
  <c r="K17" i="1"/>
  <c r="J17" i="1"/>
  <c r="I17" i="1"/>
  <c r="H17" i="1"/>
  <c r="G17" i="1"/>
  <c r="M16" i="1"/>
  <c r="M17" i="1" s="1"/>
  <c r="L15" i="1"/>
  <c r="K15" i="1"/>
  <c r="J15" i="1"/>
  <c r="I15" i="1"/>
  <c r="H15" i="1"/>
  <c r="G15" i="1"/>
  <c r="M14" i="1"/>
  <c r="L13" i="1"/>
  <c r="K13" i="1"/>
  <c r="J13" i="1"/>
  <c r="I13" i="1"/>
  <c r="H13" i="1"/>
  <c r="G13" i="1"/>
  <c r="M12" i="1"/>
  <c r="L11" i="1"/>
  <c r="K11" i="1"/>
  <c r="J11" i="1"/>
  <c r="I11" i="1"/>
  <c r="H11" i="1"/>
  <c r="M9" i="1"/>
  <c r="L8" i="1"/>
  <c r="K8" i="1"/>
  <c r="J8" i="1"/>
  <c r="I8" i="1"/>
  <c r="H8" i="1"/>
  <c r="G8" i="1"/>
  <c r="M7" i="1"/>
  <c r="M8" i="1" s="1"/>
  <c r="L6" i="1"/>
  <c r="K6" i="1"/>
  <c r="J6" i="1"/>
  <c r="I6" i="1"/>
  <c r="H6" i="1"/>
  <c r="G6" i="1"/>
  <c r="M5" i="1"/>
  <c r="L4" i="1"/>
  <c r="K4" i="1"/>
  <c r="J4" i="1"/>
  <c r="I4" i="1"/>
  <c r="H4" i="1"/>
  <c r="G4" i="1"/>
  <c r="M3" i="1"/>
  <c r="M4" i="1" s="1"/>
  <c r="M27" i="2" l="1"/>
  <c r="G32" i="2"/>
  <c r="H32" i="2"/>
  <c r="K33" i="1"/>
  <c r="K49" i="1" s="1"/>
  <c r="M41" i="1"/>
  <c r="M32" i="2"/>
  <c r="M13" i="1"/>
  <c r="M15" i="1"/>
  <c r="M6" i="1"/>
  <c r="M33" i="1"/>
  <c r="M19" i="1"/>
  <c r="M21" i="1"/>
  <c r="M28" i="1"/>
  <c r="J49" i="1"/>
  <c r="H49" i="1"/>
  <c r="L49" i="1"/>
  <c r="M11" i="1"/>
  <c r="J44" i="1"/>
  <c r="G49" i="1"/>
  <c r="H44" i="1"/>
  <c r="L44" i="1"/>
  <c r="I44" i="1"/>
  <c r="G44" i="1"/>
  <c r="K44" i="1"/>
  <c r="I49" i="1"/>
  <c r="H48" i="1" l="1"/>
  <c r="H50" i="1" s="1"/>
  <c r="H51" i="1" s="1"/>
  <c r="M44" i="1"/>
  <c r="I48" i="1"/>
  <c r="I50" i="1" s="1"/>
  <c r="I51" i="1" s="1"/>
  <c r="L48" i="1"/>
  <c r="L50" i="1" s="1"/>
  <c r="L51" i="1" s="1"/>
  <c r="G48" i="1"/>
  <c r="G50" i="1" s="1"/>
  <c r="M49" i="1"/>
  <c r="J48" i="1"/>
  <c r="J50" i="1" s="1"/>
  <c r="J51" i="1" s="1"/>
  <c r="K48" i="1"/>
  <c r="K50" i="1" s="1"/>
  <c r="K51" i="1" s="1"/>
  <c r="G51" i="1"/>
  <c r="M48" i="1" l="1"/>
  <c r="M50" i="1"/>
  <c r="M51" i="1"/>
  <c r="H42" i="12"/>
  <c r="G42" i="12"/>
  <c r="F42" i="12"/>
  <c r="E42" i="12"/>
  <c r="D42" i="12"/>
  <c r="C42" i="12"/>
  <c r="I41" i="12"/>
  <c r="I42" i="12" s="1"/>
  <c r="C48" i="12" l="1"/>
  <c r="G48" i="12"/>
  <c r="F48" i="12"/>
  <c r="H48" i="12"/>
  <c r="D48" i="12"/>
  <c r="E48" i="12"/>
  <c r="I48" i="12" l="1"/>
  <c r="L6" i="4" l="1"/>
  <c r="K6" i="4"/>
  <c r="J6" i="4"/>
  <c r="I6" i="4"/>
  <c r="H6" i="4"/>
  <c r="G6" i="4"/>
  <c r="M5" i="4"/>
  <c r="M6" i="4" s="1"/>
  <c r="I58" i="4"/>
  <c r="G58" i="4"/>
  <c r="H58" i="4"/>
  <c r="J58" i="4"/>
  <c r="K58" i="4"/>
  <c r="L58" i="4"/>
  <c r="M65" i="4"/>
  <c r="M66" i="4" s="1"/>
  <c r="G95" i="3" l="1"/>
  <c r="L93" i="3"/>
  <c r="K93" i="3"/>
  <c r="J93" i="3"/>
  <c r="I93" i="3"/>
  <c r="H93" i="3"/>
  <c r="G93" i="3"/>
  <c r="M92" i="3"/>
  <c r="M79" i="3"/>
  <c r="M87" i="3" s="1"/>
  <c r="M10" i="3"/>
  <c r="M11" i="3"/>
  <c r="K12" i="3"/>
  <c r="L12" i="3"/>
  <c r="J12" i="3"/>
  <c r="I12" i="3"/>
  <c r="H12" i="3"/>
  <c r="G12" i="3"/>
  <c r="M9" i="3" l="1"/>
  <c r="M12" i="3" s="1"/>
  <c r="M93" i="3"/>
  <c r="H34" i="2"/>
  <c r="L34" i="2"/>
  <c r="K34" i="2"/>
  <c r="J34" i="2"/>
  <c r="I34" i="2"/>
  <c r="H22" i="2" l="1"/>
  <c r="M89" i="3" l="1"/>
  <c r="M90" i="3"/>
  <c r="M18" i="3"/>
  <c r="M25" i="3"/>
  <c r="M24" i="3"/>
  <c r="I17" i="4"/>
  <c r="E11" i="12" s="1"/>
  <c r="I13" i="4"/>
  <c r="E8" i="12" s="1"/>
  <c r="I11" i="4"/>
  <c r="E7" i="12" s="1"/>
  <c r="M68" i="4"/>
  <c r="M67" i="4"/>
  <c r="M43" i="4"/>
  <c r="M58" i="4" s="1"/>
  <c r="M18" i="4"/>
  <c r="M24" i="4" s="1"/>
  <c r="H17" i="4"/>
  <c r="D11" i="12" s="1"/>
  <c r="J17" i="4"/>
  <c r="F11" i="12" s="1"/>
  <c r="K17" i="4"/>
  <c r="G11" i="12" s="1"/>
  <c r="L17" i="4"/>
  <c r="H11" i="12" s="1"/>
  <c r="G17" i="4"/>
  <c r="C11" i="12" s="1"/>
  <c r="M16" i="4"/>
  <c r="M14" i="4"/>
  <c r="M10" i="4"/>
  <c r="M3" i="4"/>
  <c r="M4" i="4" s="1"/>
  <c r="L69" i="4"/>
  <c r="K69" i="4"/>
  <c r="J69" i="4"/>
  <c r="I69" i="4"/>
  <c r="H69" i="4"/>
  <c r="G69" i="4"/>
  <c r="L4" i="4"/>
  <c r="K4" i="4"/>
  <c r="J4" i="4"/>
  <c r="I4" i="4"/>
  <c r="H4" i="4"/>
  <c r="G4" i="4"/>
  <c r="H11" i="4"/>
  <c r="D7" i="12" s="1"/>
  <c r="J11" i="4"/>
  <c r="F7" i="12" s="1"/>
  <c r="K11" i="4"/>
  <c r="G7" i="12" s="1"/>
  <c r="L11" i="4"/>
  <c r="H7" i="12" s="1"/>
  <c r="G11" i="4"/>
  <c r="C7" i="12" s="1"/>
  <c r="J13" i="4"/>
  <c r="F8" i="12" s="1"/>
  <c r="K13" i="4"/>
  <c r="G8" i="12" s="1"/>
  <c r="L13" i="4"/>
  <c r="H8" i="12" s="1"/>
  <c r="G13" i="4"/>
  <c r="C8" i="12" s="1"/>
  <c r="H15" i="4"/>
  <c r="D9" i="12" s="1"/>
  <c r="J15" i="4"/>
  <c r="F9" i="12" s="1"/>
  <c r="K15" i="4"/>
  <c r="G9" i="12" s="1"/>
  <c r="L15" i="4"/>
  <c r="H9" i="12" s="1"/>
  <c r="G15" i="4"/>
  <c r="C9" i="12" s="1"/>
  <c r="H77" i="4"/>
  <c r="I77" i="4"/>
  <c r="J77" i="4"/>
  <c r="K77" i="4"/>
  <c r="L77" i="4"/>
  <c r="G77" i="4"/>
  <c r="H13" i="4"/>
  <c r="D8" i="12" s="1"/>
  <c r="H43" i="12" l="1"/>
  <c r="H47" i="12" s="1"/>
  <c r="H49" i="12" s="1"/>
  <c r="H50" i="12" s="1"/>
  <c r="H70" i="4"/>
  <c r="L70" i="4"/>
  <c r="J70" i="4"/>
  <c r="G43" i="12"/>
  <c r="G47" i="12" s="1"/>
  <c r="G49" i="12" s="1"/>
  <c r="G50" i="12" s="1"/>
  <c r="G70" i="4"/>
  <c r="G76" i="4" s="1"/>
  <c r="K70" i="4"/>
  <c r="K76" i="4" s="1"/>
  <c r="D43" i="12"/>
  <c r="D47" i="12" s="1"/>
  <c r="D49" i="12" s="1"/>
  <c r="D50" i="12" s="1"/>
  <c r="C43" i="12"/>
  <c r="C47" i="12" s="1"/>
  <c r="C49" i="12" s="1"/>
  <c r="I8" i="12"/>
  <c r="I7" i="12"/>
  <c r="I11" i="12"/>
  <c r="F43" i="12"/>
  <c r="F47" i="12" s="1"/>
  <c r="F49" i="12" s="1"/>
  <c r="F50" i="12" s="1"/>
  <c r="H76" i="4"/>
  <c r="H78" i="4" s="1"/>
  <c r="M15" i="4"/>
  <c r="M69" i="4"/>
  <c r="M17" i="4"/>
  <c r="M11" i="4"/>
  <c r="I15" i="4"/>
  <c r="I70" i="4" s="1"/>
  <c r="M12" i="4"/>
  <c r="M13" i="4" s="1"/>
  <c r="M77" i="4"/>
  <c r="M70" i="4" l="1"/>
  <c r="E9" i="12"/>
  <c r="C50" i="12"/>
  <c r="L91" i="3"/>
  <c r="K91" i="3"/>
  <c r="J91" i="3"/>
  <c r="I91" i="3"/>
  <c r="H91" i="3"/>
  <c r="G91" i="3"/>
  <c r="G103" i="3" s="1"/>
  <c r="E43" i="12" l="1"/>
  <c r="E47" i="12" s="1"/>
  <c r="E49" i="12" s="1"/>
  <c r="I9" i="12"/>
  <c r="I43" i="12" s="1"/>
  <c r="I47" i="12" s="1"/>
  <c r="M54" i="3"/>
  <c r="M78" i="3" s="1"/>
  <c r="L95" i="3"/>
  <c r="L103" i="3" s="1"/>
  <c r="K95" i="3"/>
  <c r="K103" i="3" s="1"/>
  <c r="J95" i="3"/>
  <c r="J103" i="3" s="1"/>
  <c r="I95" i="3"/>
  <c r="I103" i="3" s="1"/>
  <c r="H95" i="3"/>
  <c r="H103" i="3" s="1"/>
  <c r="M94" i="3"/>
  <c r="M88" i="3"/>
  <c r="M91" i="3" s="1"/>
  <c r="M37" i="3"/>
  <c r="M38" i="3" s="1"/>
  <c r="M33" i="3"/>
  <c r="M34" i="3" s="1"/>
  <c r="M27" i="3"/>
  <c r="M30" i="3" s="1"/>
  <c r="G26" i="3"/>
  <c r="M23" i="3"/>
  <c r="M26" i="3" s="1"/>
  <c r="L22" i="3"/>
  <c r="K22" i="3"/>
  <c r="J22" i="3"/>
  <c r="I22" i="3"/>
  <c r="M17" i="3"/>
  <c r="L16" i="3"/>
  <c r="K16" i="3"/>
  <c r="J16" i="3"/>
  <c r="I16" i="3"/>
  <c r="H16" i="3"/>
  <c r="G16" i="3"/>
  <c r="M15" i="3"/>
  <c r="L8" i="3"/>
  <c r="K8" i="3"/>
  <c r="J8" i="3"/>
  <c r="I8" i="3"/>
  <c r="H8" i="3"/>
  <c r="G8" i="3"/>
  <c r="M7" i="3"/>
  <c r="M5" i="3"/>
  <c r="I6" i="3"/>
  <c r="J6" i="3"/>
  <c r="K6" i="3"/>
  <c r="L6" i="3"/>
  <c r="G6" i="3"/>
  <c r="H6" i="3"/>
  <c r="E50" i="12" l="1"/>
  <c r="I50" i="12" s="1"/>
  <c r="I49" i="12"/>
  <c r="H96" i="3"/>
  <c r="H102" i="3" s="1"/>
  <c r="J96" i="3"/>
  <c r="J102" i="3" s="1"/>
  <c r="K96" i="3"/>
  <c r="K102" i="3" s="1"/>
  <c r="G96" i="3"/>
  <c r="G102" i="3" s="1"/>
  <c r="G104" i="3" s="1"/>
  <c r="I96" i="3"/>
  <c r="I102" i="3" s="1"/>
  <c r="L96" i="3"/>
  <c r="L102" i="3" s="1"/>
  <c r="M95" i="3"/>
  <c r="M103" i="3" s="1"/>
  <c r="M6" i="3"/>
  <c r="M8" i="3"/>
  <c r="M16" i="3"/>
  <c r="M22" i="3"/>
  <c r="H10" i="2"/>
  <c r="I10" i="2"/>
  <c r="J10" i="2"/>
  <c r="K10" i="2"/>
  <c r="L10" i="2"/>
  <c r="H12" i="2"/>
  <c r="I12" i="2"/>
  <c r="J12" i="2"/>
  <c r="K12" i="2"/>
  <c r="L12" i="2"/>
  <c r="H14" i="2"/>
  <c r="I14" i="2"/>
  <c r="J14" i="2"/>
  <c r="K14" i="2"/>
  <c r="L14" i="2"/>
  <c r="L25" i="2"/>
  <c r="L42" i="2" s="1"/>
  <c r="K25" i="2"/>
  <c r="K42" i="2" s="1"/>
  <c r="J25" i="2"/>
  <c r="J42" i="2" s="1"/>
  <c r="I25" i="2"/>
  <c r="I42" i="2" s="1"/>
  <c r="M96" i="3" l="1"/>
  <c r="M102" i="3" s="1"/>
  <c r="M24" i="2"/>
  <c r="H25" i="2" l="1"/>
  <c r="H42" i="2" s="1"/>
  <c r="G14" i="2"/>
  <c r="M13" i="2"/>
  <c r="H16" i="2"/>
  <c r="M11" i="2"/>
  <c r="G4" i="2"/>
  <c r="G6" i="2"/>
  <c r="G8" i="2"/>
  <c r="G10" i="2"/>
  <c r="G12" i="2"/>
  <c r="G16" i="2"/>
  <c r="G18" i="2"/>
  <c r="G20" i="2"/>
  <c r="G22" i="2"/>
  <c r="G34" i="2"/>
  <c r="M9" i="2"/>
  <c r="M10" i="2" s="1"/>
  <c r="M15" i="2"/>
  <c r="M17" i="2"/>
  <c r="H20" i="2"/>
  <c r="I20" i="2"/>
  <c r="J20" i="2"/>
  <c r="K20" i="2"/>
  <c r="L20" i="2"/>
  <c r="I22" i="2"/>
  <c r="J22" i="2"/>
  <c r="K22" i="2"/>
  <c r="L22" i="2"/>
  <c r="H4" i="2"/>
  <c r="H6" i="2"/>
  <c r="H8" i="2"/>
  <c r="H18" i="2"/>
  <c r="K4" i="2"/>
  <c r="K6" i="2"/>
  <c r="K8" i="2"/>
  <c r="K16" i="2"/>
  <c r="K18" i="2"/>
  <c r="L4" i="2"/>
  <c r="L6" i="2"/>
  <c r="L8" i="2"/>
  <c r="L16" i="2"/>
  <c r="L18" i="2"/>
  <c r="I4" i="2"/>
  <c r="I6" i="2"/>
  <c r="I8" i="2"/>
  <c r="I16" i="2"/>
  <c r="I18" i="2"/>
  <c r="J4" i="2"/>
  <c r="J6" i="2"/>
  <c r="J8" i="2"/>
  <c r="J16" i="2"/>
  <c r="J18" i="2"/>
  <c r="M33" i="2"/>
  <c r="M34" i="2" s="1"/>
  <c r="M23" i="2"/>
  <c r="M21" i="2"/>
  <c r="M19" i="2"/>
  <c r="M7" i="2"/>
  <c r="M5" i="2"/>
  <c r="M3" i="2"/>
  <c r="I76" i="4"/>
  <c r="I78" i="4" s="1"/>
  <c r="I79" i="4" s="1"/>
  <c r="L76" i="4"/>
  <c r="L78" i="4" s="1"/>
  <c r="L79" i="4" s="1"/>
  <c r="M104" i="3"/>
  <c r="H35" i="2" l="1"/>
  <c r="K35" i="2"/>
  <c r="G35" i="2"/>
  <c r="J35" i="2"/>
  <c r="I35" i="2"/>
  <c r="L35" i="2"/>
  <c r="G42" i="2"/>
  <c r="G78" i="4"/>
  <c r="H79" i="4"/>
  <c r="K78" i="4"/>
  <c r="K79" i="4" s="1"/>
  <c r="J76" i="4"/>
  <c r="J78" i="4" s="1"/>
  <c r="J79" i="4" s="1"/>
  <c r="M14" i="2"/>
  <c r="M25" i="2"/>
  <c r="M42" i="2" s="1"/>
  <c r="M12" i="2"/>
  <c r="J104" i="3"/>
  <c r="M16" i="2"/>
  <c r="M18" i="2"/>
  <c r="M20" i="2"/>
  <c r="M22" i="2"/>
  <c r="M76" i="4"/>
  <c r="M35" i="2" l="1"/>
  <c r="G41" i="2"/>
  <c r="G43" i="2" s="1"/>
  <c r="G79" i="4"/>
  <c r="M79" i="4" s="1"/>
  <c r="M78" i="4"/>
  <c r="J41" i="2"/>
  <c r="J43" i="2" s="1"/>
  <c r="H41" i="2"/>
  <c r="H43" i="2" s="1"/>
  <c r="I41" i="2"/>
  <c r="I43" i="2" s="1"/>
  <c r="K41" i="2"/>
  <c r="K43" i="2" s="1"/>
  <c r="L41" i="2"/>
  <c r="H104" i="3"/>
  <c r="L104" i="3"/>
  <c r="K104" i="3"/>
  <c r="I104" i="3"/>
  <c r="L43" i="2" l="1"/>
  <c r="M43" i="2" s="1"/>
  <c r="M41" i="2"/>
</calcChain>
</file>

<file path=xl/sharedStrings.xml><?xml version="1.0" encoding="utf-8"?>
<sst xmlns="http://schemas.openxmlformats.org/spreadsheetml/2006/main" count="750" uniqueCount="140">
  <si>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</si>
  <si>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</si>
  <si>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</si>
  <si>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</si>
  <si>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</si>
  <si>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</si>
  <si>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</si>
  <si>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</si>
  <si>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</si>
  <si>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</si>
  <si>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</si>
  <si>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</si>
  <si>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</si>
  <si>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</si>
  <si>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</si>
  <si>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</si>
  <si>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</si>
  <si>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</si>
  <si>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</si>
  <si>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</si>
  <si>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</si>
  <si>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GRAND TOTALS</t>
  </si>
  <si>
    <t xml:space="preserve"> </t>
  </si>
  <si>
    <t xml:space="preserve"> Mileage / Parking</t>
  </si>
  <si>
    <t xml:space="preserve">Taxi </t>
  </si>
  <si>
    <t>Chief Executive</t>
  </si>
  <si>
    <t>SENIOR MANAGEMENT</t>
  </si>
  <si>
    <t>Milage</t>
  </si>
  <si>
    <t>Taxi</t>
  </si>
  <si>
    <t>L Dineley</t>
  </si>
  <si>
    <t xml:space="preserve"> MEMBERS &amp; DIRECTORS - EXPENSES CLAIMS / INVOICES RECEIVED BETWEEN 1ST APRIL 2022 AND 31ST MARCH 2023</t>
  </si>
  <si>
    <t xml:space="preserve"> MEMBERS &amp; DIRECTORS - EXPENSES CLAIMS / INVOICES RECEIVED BETWEEN 1ST JANUARY AND 31ST MARCH 2023</t>
  </si>
  <si>
    <t xml:space="preserve"> MEMBERS &amp; DIRECTORS - EXPENSES CLAIMS / INVOICES RECEIVED BETWEEN 1ST OCTOBER AND 31ST DECEMBER 2022</t>
  </si>
  <si>
    <t xml:space="preserve"> MEMBERS &amp; DIRECTORS - EXPENSES CLAIMS / INVOICES RECEIVED BETWEEN 1ST JULY AND 30TH SEPTEMBER 2022</t>
  </si>
  <si>
    <t>AUTHORITY  MEMBERS &amp; DIRECTORS - EXPENSES CLAIMS / INVOICES RECEIVED BETWEEN 1ST APRIL AND 30TH JUNE 2022</t>
  </si>
  <si>
    <t>Sullivan, Colin</t>
  </si>
  <si>
    <t>Harrison, Nicky</t>
  </si>
  <si>
    <t>Director of Regulation</t>
  </si>
  <si>
    <t>Authority Member</t>
  </si>
  <si>
    <t>London</t>
  </si>
  <si>
    <t>Office attendance and Board Meeting 4-6 May 22</t>
  </si>
  <si>
    <t>Greenfield, Andy</t>
  </si>
  <si>
    <t xml:space="preserve">Board Meeting </t>
  </si>
  <si>
    <t>Belfast</t>
  </si>
  <si>
    <t>HSC Leadership Centre meeting</t>
  </si>
  <si>
    <t>23-25/05/2022</t>
  </si>
  <si>
    <t>Office attendance for meetings</t>
  </si>
  <si>
    <t>24-25/05/2022</t>
  </si>
  <si>
    <t>Conference attendance fee</t>
  </si>
  <si>
    <t>Manchester</t>
  </si>
  <si>
    <t>Dodds, Helen</t>
  </si>
  <si>
    <t>Board Meeting</t>
  </si>
  <si>
    <t>Crowe, Gary</t>
  </si>
  <si>
    <t>Berry, Lynne</t>
  </si>
  <si>
    <t>Chakraborti,</t>
  </si>
  <si>
    <t>Donovan, Ellen</t>
  </si>
  <si>
    <t>Dineley, Louise</t>
  </si>
  <si>
    <t>Sydee, Richard</t>
  </si>
  <si>
    <t>Director of Finance</t>
  </si>
  <si>
    <t>Chief executive</t>
  </si>
  <si>
    <t>Director of Data, Development &amp; Technology</t>
  </si>
  <si>
    <t>Dineley Louise</t>
  </si>
  <si>
    <t>McDermott, John</t>
  </si>
  <si>
    <t>Deputy Director</t>
  </si>
  <si>
    <t>08-09/09/2022</t>
  </si>
  <si>
    <t>All Staff Event</t>
  </si>
  <si>
    <t>All Staff Event 29-30/06/2022</t>
  </si>
  <si>
    <t>BTS Congress</t>
  </si>
  <si>
    <t>Royal College of Pathologists Jubilee Annual Dinner</t>
  </si>
  <si>
    <t>Brtty, Lynne</t>
  </si>
  <si>
    <t>Bowman, Deborah</t>
  </si>
  <si>
    <t>Chakraborti, Tom</t>
  </si>
  <si>
    <t>Donavan, Ellen</t>
  </si>
  <si>
    <t>Lewis, David</t>
  </si>
  <si>
    <t>Accommo-dation / Meals</t>
  </si>
  <si>
    <t>Milage/
Parking</t>
  </si>
  <si>
    <t>Harrison, Nicolette</t>
  </si>
  <si>
    <t>Director</t>
  </si>
  <si>
    <t>Audit Committee Meeting</t>
  </si>
  <si>
    <t>Meeting attendnace</t>
  </si>
  <si>
    <t>Maidstone</t>
  </si>
  <si>
    <t>Dr Sullivan, Colin</t>
  </si>
  <si>
    <t>Meeting attendance</t>
  </si>
  <si>
    <t>Course attendance</t>
  </si>
  <si>
    <t>Windsor</t>
  </si>
  <si>
    <t>Meeting attendnace (various 6/10-13/10)</t>
  </si>
  <si>
    <t>Subscription renewal</t>
  </si>
  <si>
    <t>N/a</t>
  </si>
  <si>
    <t>Observe inspection</t>
  </si>
  <si>
    <t>Wythenshawe</t>
  </si>
  <si>
    <t>Atrtendance at SMT development meeting</t>
  </si>
  <si>
    <t>Attendance at SMT development meeting</t>
  </si>
  <si>
    <t>Attendance at Directorate development meeting</t>
  </si>
  <si>
    <t>Attendance at Staff meeting</t>
  </si>
  <si>
    <t>Attendance at DHSC Accountability meeting</t>
  </si>
  <si>
    <t>Non Executive Director</t>
  </si>
  <si>
    <t>Non Executive Director, Chair of the Board</t>
  </si>
  <si>
    <t>Griffiths, Charmaine</t>
  </si>
  <si>
    <t>Lewis,  David</t>
  </si>
  <si>
    <t>Authority meeting</t>
  </si>
  <si>
    <t>David Liewis</t>
  </si>
  <si>
    <t>Authority Meeting</t>
  </si>
  <si>
    <t>Ellen Donovan</t>
  </si>
  <si>
    <t>Helen Dodds</t>
  </si>
  <si>
    <t>Gary Crowe</t>
  </si>
  <si>
    <t>Andy Greenfield</t>
  </si>
  <si>
    <t>Regulatory inspection (observer)</t>
  </si>
  <si>
    <t>Brisotl</t>
  </si>
  <si>
    <t>Non Executive Director, Chair of ARAC</t>
  </si>
  <si>
    <t>Griffiths,  Charmaine</t>
  </si>
  <si>
    <t>Colin Sullivan</t>
  </si>
  <si>
    <t>ALB Chief Executive Meeting</t>
  </si>
  <si>
    <t>DHSC Meeting</t>
  </si>
  <si>
    <t>NI-CO Meeting</t>
  </si>
  <si>
    <t>SMT Away day</t>
  </si>
  <si>
    <t xml:space="preserve">Inspection visit </t>
  </si>
  <si>
    <t>All Staff Day</t>
  </si>
  <si>
    <t>NHSBT Stakeholder event</t>
  </si>
  <si>
    <t>Conference attendance</t>
  </si>
  <si>
    <t>Nicky Harrison</t>
  </si>
  <si>
    <t>John McDermott</t>
  </si>
  <si>
    <t xml:space="preserve">All Staff Day </t>
  </si>
  <si>
    <t>Institute of Regulation Conference</t>
  </si>
  <si>
    <t>SMT Strategy Meeting</t>
  </si>
  <si>
    <t>Replacement batteries</t>
  </si>
  <si>
    <t>N/A</t>
  </si>
  <si>
    <t xml:space="preserve">Laptop case </t>
  </si>
  <si>
    <t>Edinburgh</t>
  </si>
  <si>
    <t>NHSBT BTS Conference</t>
  </si>
  <si>
    <t>Louise Dineley</t>
  </si>
  <si>
    <t>Directot of Data, Technology &amp; Development</t>
  </si>
  <si>
    <t>Bvoard Meeting</t>
  </si>
  <si>
    <t>Birmingham</t>
  </si>
  <si>
    <t>SMT Away Day</t>
  </si>
  <si>
    <t>SMT Strategy meeting</t>
  </si>
  <si>
    <t>RemCo</t>
  </si>
  <si>
    <t>Shared Resources Meeting</t>
  </si>
  <si>
    <t>Office Meeting</t>
  </si>
  <si>
    <t>Public Chair's Forum &amp; ACE</t>
  </si>
  <si>
    <t>Cancelled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</si>
</sst>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0"/>
      <color theme="0"/>
      <name val="Arial Narrow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i/>
      <sz val="11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A0128"/>
        <bgColor indexed="64"/>
      </patternFill>
    </fill>
    <fill>
      <patternFill patternType="solid">
        <fgColor rgb="FF5B2D77"/>
        <bgColor indexed="64"/>
      </patternFill>
    </fill>
    <fill>
      <patternFill patternType="solid">
        <fgColor rgb="FFBDD9E4"/>
        <bgColor indexed="64"/>
      </patternFill>
    </fill>
    <fill>
      <patternFill patternType="solid">
        <fgColor rgb="FF5C8FA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3" fontId="7" fillId="0" borderId="0" xfId="0" applyNumberFormat="1" applyFont="1"/>
    <xf numFmtId="43" fontId="8" fillId="0" borderId="3" xfId="1" applyFont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43" fontId="4" fillId="0" borderId="0" xfId="0" applyNumberFormat="1" applyFont="1"/>
    <xf numFmtId="43" fontId="8" fillId="0" borderId="0" xfId="1" applyFont="1" applyBorder="1"/>
    <xf numFmtId="22" fontId="4" fillId="0" borderId="0" xfId="0" applyNumberFormat="1" applyFont="1"/>
    <xf numFmtId="0" fontId="8" fillId="2" borderId="4" xfId="2" applyFont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5" fillId="5" borderId="11" xfId="0" applyFont="1" applyFill="1" applyBorder="1"/>
    <xf numFmtId="43" fontId="5" fillId="7" borderId="12" xfId="1" applyFont="1" applyFill="1" applyBorder="1"/>
    <xf numFmtId="0" fontId="8" fillId="5" borderId="11" xfId="0" applyFont="1" applyFill="1" applyBorder="1"/>
    <xf numFmtId="43" fontId="8" fillId="7" borderId="12" xfId="1" applyFont="1" applyFill="1" applyBorder="1"/>
    <xf numFmtId="43" fontId="5" fillId="7" borderId="1" xfId="1" applyFont="1" applyFill="1" applyBorder="1"/>
    <xf numFmtId="43" fontId="8" fillId="0" borderId="13" xfId="1" applyFont="1" applyBorder="1"/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49" fontId="2" fillId="8" borderId="1" xfId="3" applyNumberFormat="1" applyFont="1" applyFill="1" applyBorder="1" applyAlignment="1"/>
    <xf numFmtId="43" fontId="2" fillId="8" borderId="1" xfId="1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wrapText="1"/>
    </xf>
    <xf numFmtId="14" fontId="11" fillId="9" borderId="2" xfId="0" applyNumberFormat="1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/>
    </xf>
    <xf numFmtId="43" fontId="11" fillId="9" borderId="2" xfId="1" applyFont="1" applyFill="1" applyBorder="1" applyAlignment="1">
      <alignment horizontal="center" wrapText="1"/>
    </xf>
    <xf numFmtId="14" fontId="6" fillId="10" borderId="2" xfId="0" applyNumberFormat="1" applyFont="1" applyFill="1" applyBorder="1"/>
    <xf numFmtId="14" fontId="6" fillId="10" borderId="2" xfId="0" applyNumberFormat="1" applyFont="1" applyFill="1" applyBorder="1" applyAlignment="1">
      <alignment horizontal="right"/>
    </xf>
    <xf numFmtId="0" fontId="6" fillId="10" borderId="2" xfId="0" applyFont="1" applyFill="1" applyBorder="1"/>
    <xf numFmtId="43" fontId="6" fillId="10" borderId="2" xfId="1" applyFont="1" applyFill="1" applyBorder="1"/>
    <xf numFmtId="0" fontId="6" fillId="11" borderId="2" xfId="0" applyFont="1" applyFill="1" applyBorder="1"/>
    <xf numFmtId="0" fontId="12" fillId="11" borderId="2" xfId="0" applyFont="1" applyFill="1" applyBorder="1"/>
    <xf numFmtId="164" fontId="6" fillId="11" borderId="2" xfId="0" applyNumberFormat="1" applyFont="1" applyFill="1" applyBorder="1" applyAlignment="1">
      <alignment horizontal="left"/>
    </xf>
    <xf numFmtId="0" fontId="5" fillId="11" borderId="2" xfId="0" applyFont="1" applyFill="1" applyBorder="1"/>
    <xf numFmtId="14" fontId="6" fillId="11" borderId="2" xfId="0" applyNumberFormat="1" applyFont="1" applyFill="1" applyBorder="1" applyAlignment="1">
      <alignment horizontal="left"/>
    </xf>
    <xf numFmtId="43" fontId="5" fillId="11" borderId="2" xfId="1" applyFont="1" applyFill="1" applyBorder="1"/>
    <xf numFmtId="14" fontId="5" fillId="10" borderId="2" xfId="0" applyNumberFormat="1" applyFont="1" applyFill="1" applyBorder="1"/>
    <xf numFmtId="0" fontId="13" fillId="11" borderId="2" xfId="0" applyFont="1" applyFill="1" applyBorder="1"/>
    <xf numFmtId="14" fontId="6" fillId="10" borderId="2" xfId="0" applyNumberFormat="1" applyFont="1" applyFill="1" applyBorder="1" applyAlignment="1">
      <alignment wrapText="1"/>
    </xf>
    <xf numFmtId="14" fontId="12" fillId="11" borderId="2" xfId="0" applyNumberFormat="1" applyFont="1" applyFill="1" applyBorder="1"/>
    <xf numFmtId="43" fontId="8" fillId="0" borderId="3" xfId="1" applyFont="1" applyBorder="1" applyAlignment="1">
      <alignment horizontal="center"/>
    </xf>
    <xf numFmtId="14" fontId="6" fillId="12" borderId="2" xfId="0" applyNumberFormat="1" applyFont="1" applyFill="1" applyBorder="1"/>
    <xf numFmtId="49" fontId="2" fillId="8" borderId="1" xfId="3" applyNumberFormat="1" applyFont="1" applyFill="1" applyBorder="1"/>
    <xf numFmtId="43" fontId="2" fillId="8" borderId="1" xfId="4" applyFont="1" applyFill="1" applyBorder="1" applyAlignment="1">
      <alignment horizontal="center"/>
    </xf>
    <xf numFmtId="0" fontId="4" fillId="0" borderId="0" xfId="5" applyFont="1"/>
    <xf numFmtId="0" fontId="11" fillId="9" borderId="2" xfId="5" applyFont="1" applyFill="1" applyBorder="1" applyAlignment="1">
      <alignment horizontal="left" wrapText="1"/>
    </xf>
    <xf numFmtId="43" fontId="11" fillId="9" borderId="2" xfId="4" applyFont="1" applyFill="1" applyBorder="1" applyAlignment="1">
      <alignment horizontal="center" wrapText="1"/>
    </xf>
    <xf numFmtId="14" fontId="6" fillId="10" borderId="2" xfId="5" applyNumberFormat="1" applyFont="1" applyFill="1" applyBorder="1"/>
    <xf numFmtId="14" fontId="6" fillId="10" borderId="2" xfId="5" applyNumberFormat="1" applyFont="1" applyFill="1" applyBorder="1" applyAlignment="1">
      <alignment horizontal="right"/>
    </xf>
    <xf numFmtId="0" fontId="6" fillId="10" borderId="2" xfId="5" applyFont="1" applyFill="1" applyBorder="1"/>
    <xf numFmtId="43" fontId="6" fillId="10" borderId="2" xfId="4" applyFont="1" applyFill="1" applyBorder="1"/>
    <xf numFmtId="14" fontId="12" fillId="11" borderId="2" xfId="5" applyNumberFormat="1" applyFont="1" applyFill="1" applyBorder="1"/>
    <xf numFmtId="0" fontId="6" fillId="11" borderId="2" xfId="5" applyFont="1" applyFill="1" applyBorder="1"/>
    <xf numFmtId="164" fontId="6" fillId="11" borderId="2" xfId="5" applyNumberFormat="1" applyFont="1" applyFill="1" applyBorder="1" applyAlignment="1">
      <alignment horizontal="left"/>
    </xf>
    <xf numFmtId="0" fontId="5" fillId="11" borderId="2" xfId="5" applyFont="1" applyFill="1" applyBorder="1"/>
    <xf numFmtId="14" fontId="6" fillId="11" borderId="2" xfId="5" applyNumberFormat="1" applyFont="1" applyFill="1" applyBorder="1" applyAlignment="1">
      <alignment horizontal="left"/>
    </xf>
    <xf numFmtId="43" fontId="5" fillId="11" borderId="2" xfId="4" applyFont="1" applyFill="1" applyBorder="1"/>
    <xf numFmtId="14" fontId="6" fillId="12" borderId="2" xfId="5" applyNumberFormat="1" applyFont="1" applyFill="1" applyBorder="1"/>
    <xf numFmtId="14" fontId="12" fillId="0" borderId="2" xfId="5" applyNumberFormat="1" applyFont="1" applyBorder="1"/>
    <xf numFmtId="0" fontId="6" fillId="0" borderId="2" xfId="5" applyFont="1" applyBorder="1"/>
    <xf numFmtId="164" fontId="6" fillId="0" borderId="2" xfId="5" applyNumberFormat="1" applyFont="1" applyBorder="1" applyAlignment="1">
      <alignment horizontal="left"/>
    </xf>
    <xf numFmtId="0" fontId="5" fillId="0" borderId="2" xfId="5" applyFont="1" applyBorder="1"/>
    <xf numFmtId="14" fontId="6" fillId="0" borderId="2" xfId="5" applyNumberFormat="1" applyFont="1" applyBorder="1" applyAlignment="1">
      <alignment horizontal="left"/>
    </xf>
    <xf numFmtId="43" fontId="8" fillId="0" borderId="2" xfId="4" applyFont="1" applyBorder="1"/>
    <xf numFmtId="43" fontId="8" fillId="2" borderId="5" xfId="4" applyFont="1" applyFill="1" applyBorder="1" applyAlignment="1">
      <alignment horizontal="center"/>
    </xf>
    <xf numFmtId="43" fontId="8" fillId="2" borderId="6" xfId="4" applyFont="1" applyFill="1" applyBorder="1" applyAlignment="1">
      <alignment horizontal="center"/>
    </xf>
    <xf numFmtId="165" fontId="5" fillId="4" borderId="7" xfId="5" applyNumberFormat="1" applyFont="1" applyFill="1" applyBorder="1" applyAlignment="1">
      <alignment horizontal="center" wrapText="1"/>
    </xf>
    <xf numFmtId="43" fontId="5" fillId="4" borderId="8" xfId="4" applyFont="1" applyFill="1" applyBorder="1" applyAlignment="1">
      <alignment horizontal="center" wrapText="1"/>
    </xf>
    <xf numFmtId="43" fontId="5" fillId="4" borderId="9" xfId="4" applyFont="1" applyFill="1" applyBorder="1" applyAlignment="1">
      <alignment horizontal="center" wrapText="1"/>
    </xf>
    <xf numFmtId="43" fontId="5" fillId="4" borderId="10" xfId="4" applyFont="1" applyFill="1" applyBorder="1" applyAlignment="1">
      <alignment horizontal="center" wrapText="1"/>
    </xf>
    <xf numFmtId="0" fontId="5" fillId="5" borderId="11" xfId="5" applyFont="1" applyFill="1" applyBorder="1"/>
    <xf numFmtId="43" fontId="5" fillId="10" borderId="12" xfId="4" applyFont="1" applyFill="1" applyBorder="1"/>
    <xf numFmtId="0" fontId="8" fillId="5" borderId="11" xfId="5" applyFont="1" applyFill="1" applyBorder="1"/>
    <xf numFmtId="43" fontId="8" fillId="10" borderId="12" xfId="4" applyFont="1" applyFill="1" applyBorder="1"/>
    <xf numFmtId="43" fontId="5" fillId="10" borderId="1" xfId="4" applyFont="1" applyFill="1" applyBorder="1"/>
    <xf numFmtId="0" fontId="5" fillId="6" borderId="14" xfId="5" applyFont="1" applyFill="1" applyBorder="1"/>
    <xf numFmtId="43" fontId="5" fillId="6" borderId="15" xfId="4" applyFont="1" applyFill="1" applyBorder="1"/>
    <xf numFmtId="43" fontId="5" fillId="6" borderId="16" xfId="4" applyFont="1" applyFill="1" applyBorder="1"/>
    <xf numFmtId="43" fontId="11" fillId="9" borderId="2" xfId="1" applyFont="1" applyFill="1" applyBorder="1" applyAlignment="1">
      <alignment horizontal="center" vertical="top" wrapText="1"/>
    </xf>
    <xf numFmtId="0" fontId="11" fillId="9" borderId="2" xfId="5" applyFont="1" applyFill="1" applyBorder="1" applyAlignment="1">
      <alignment horizontal="left" vertical="top" wrapText="1"/>
    </xf>
    <xf numFmtId="14" fontId="11" fillId="9" borderId="2" xfId="5" applyNumberFormat="1" applyFont="1" applyFill="1" applyBorder="1" applyAlignment="1">
      <alignment horizontal="left" vertical="top" wrapText="1"/>
    </xf>
    <xf numFmtId="0" fontId="11" fillId="9" borderId="2" xfId="5" applyFont="1" applyFill="1" applyBorder="1" applyAlignment="1">
      <alignment horizontal="left" vertical="top"/>
    </xf>
    <xf numFmtId="43" fontId="11" fillId="9" borderId="2" xfId="4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4" fontId="12" fillId="10" borderId="2" xfId="5" applyNumberFormat="1" applyFont="1" applyFill="1" applyBorder="1"/>
    <xf numFmtId="43" fontId="5" fillId="10" borderId="2" xfId="4" applyFont="1" applyFill="1" applyBorder="1"/>
    <xf numFmtId="14" fontId="5" fillId="10" borderId="2" xfId="5" applyNumberFormat="1" applyFont="1" applyFill="1" applyBorder="1"/>
    <xf numFmtId="0" fontId="14" fillId="0" borderId="13" xfId="5" applyFont="1" applyBorder="1" applyAlignment="1">
      <alignment wrapText="1"/>
    </xf>
    <xf numFmtId="14" fontId="6" fillId="10" borderId="2" xfId="0" applyNumberFormat="1" applyFont="1" applyFill="1" applyBorder="1" applyAlignment="1">
      <alignment horizontal="left"/>
    </xf>
  </cellXfs>
  <cellStyles count="6">
    <cellStyle name="Accent5" xfId="3" builtinId="45"/>
    <cellStyle name="Comma" xfId="1" builtinId="3"/>
    <cellStyle name="Comma 4" xfId="4" xr:uid="{E476BB4D-407E-42E3-BEDF-5D3164C7F177}"/>
    <cellStyle name="Good" xfId="2" builtinId="26"/>
    <cellStyle name="Normal" xfId="0" builtinId="0"/>
    <cellStyle name="Normal 5" xfId="5" xr:uid="{B0321128-684B-4BF1-977A-08A078D1C286}"/>
  </cellStyles>
  <dxfs count="0"/>
  <tableStyles count="0" defaultTableStyle="TableStyleMedium2" defaultPivotStyle="PivotStyleLight16"/>
  <colors>
    <mruColors>
      <color rgb="FFBDD9E4"/>
      <color rgb="FF5C8FA2"/>
      <color rgb="FFA3D869"/>
      <color rgb="FF1A0128"/>
      <color rgb="FFBDD916"/>
      <color rgb="FF5B2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zoomScaleNormal="10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M18" sqref="M18"/>
    </sheetView>
  </sheetViews>
  <sheetFormatPr defaultColWidth="9.140625" defaultRowHeight="16.5" x14ac:dyDescent="0.3"/>
  <cols>
    <col min="1" max="1" width="16.140625" style="1" customWidth="1"/>
    <col min="2" max="2" width="29.85546875" style="1" customWidth="1"/>
    <col min="3" max="3" width="9.28515625" style="1" bestFit="1" customWidth="1"/>
    <col min="4" max="4" width="34.7109375" style="1" bestFit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s="92" customFormat="1" ht="38.25" x14ac:dyDescent="0.25">
      <c r="A2" s="88" t="s">
        <v>0</v>
      </c>
      <c r="B2" s="88" t="s">
        <v>1</v>
      </c>
      <c r="C2" s="89" t="s">
        <v>2</v>
      </c>
      <c r="D2" s="88" t="s">
        <v>3</v>
      </c>
      <c r="E2" s="88" t="s">
        <v>4</v>
      </c>
      <c r="F2" s="90" t="s">
        <v>5</v>
      </c>
      <c r="G2" s="91" t="s">
        <v>6</v>
      </c>
      <c r="H2" s="91" t="s">
        <v>8</v>
      </c>
      <c r="I2" s="91" t="s">
        <v>75</v>
      </c>
      <c r="J2" s="91" t="s">
        <v>28</v>
      </c>
      <c r="K2" s="91" t="s">
        <v>74</v>
      </c>
      <c r="L2" s="91" t="s">
        <v>11</v>
      </c>
      <c r="M2" s="91" t="s">
        <v>12</v>
      </c>
    </row>
    <row r="3" spans="1:13" x14ac:dyDescent="0.3">
      <c r="A3" s="56" t="s">
        <v>53</v>
      </c>
      <c r="B3" s="56" t="s">
        <v>38</v>
      </c>
      <c r="C3" s="57"/>
      <c r="D3" s="56"/>
      <c r="E3" s="57"/>
      <c r="F3" s="58"/>
      <c r="G3" s="59"/>
      <c r="H3" s="59"/>
      <c r="I3" s="59"/>
      <c r="J3" s="59"/>
      <c r="K3" s="59"/>
      <c r="L3" s="59"/>
      <c r="M3" s="59">
        <f>SUM(G3:L3)</f>
        <v>0</v>
      </c>
    </row>
    <row r="4" spans="1:13" x14ac:dyDescent="0.3">
      <c r="A4" s="60"/>
      <c r="B4" s="61"/>
      <c r="C4" s="62"/>
      <c r="D4" s="63"/>
      <c r="E4" s="64"/>
      <c r="F4" s="61"/>
      <c r="G4" s="65">
        <f t="shared" ref="G4:M4" si="0">SUM(G3:G3)</f>
        <v>0</v>
      </c>
      <c r="H4" s="65">
        <f t="shared" si="0"/>
        <v>0</v>
      </c>
      <c r="I4" s="65">
        <f t="shared" si="0"/>
        <v>0</v>
      </c>
      <c r="J4" s="65">
        <f t="shared" si="0"/>
        <v>0</v>
      </c>
      <c r="K4" s="65">
        <f t="shared" si="0"/>
        <v>0</v>
      </c>
      <c r="L4" s="65">
        <f t="shared" si="0"/>
        <v>0</v>
      </c>
      <c r="M4" s="65">
        <f t="shared" si="0"/>
        <v>0</v>
      </c>
    </row>
    <row r="5" spans="1:13" x14ac:dyDescent="0.3">
      <c r="A5" s="56" t="s">
        <v>70</v>
      </c>
      <c r="B5" s="56" t="s">
        <v>38</v>
      </c>
      <c r="C5" s="57"/>
      <c r="D5" s="56"/>
      <c r="E5" s="57"/>
      <c r="F5" s="58"/>
      <c r="G5" s="59"/>
      <c r="H5" s="59"/>
      <c r="I5" s="59"/>
      <c r="J5" s="59"/>
      <c r="K5" s="59"/>
      <c r="L5" s="59"/>
      <c r="M5" s="59">
        <f t="shared" ref="M5" si="1">SUM(G5:L5)</f>
        <v>0</v>
      </c>
    </row>
    <row r="6" spans="1:13" x14ac:dyDescent="0.3">
      <c r="A6" s="60"/>
      <c r="B6" s="61"/>
      <c r="C6" s="62"/>
      <c r="D6" s="63"/>
      <c r="E6" s="64"/>
      <c r="F6" s="61"/>
      <c r="G6" s="65">
        <f t="shared" ref="G6:M6" si="2">SUM(G5:G5)</f>
        <v>0</v>
      </c>
      <c r="H6" s="65">
        <f t="shared" si="2"/>
        <v>0</v>
      </c>
      <c r="I6" s="65">
        <f t="shared" si="2"/>
        <v>0</v>
      </c>
      <c r="J6" s="65">
        <f t="shared" si="2"/>
        <v>0</v>
      </c>
      <c r="K6" s="65">
        <f t="shared" si="2"/>
        <v>0</v>
      </c>
      <c r="L6" s="65">
        <f t="shared" si="2"/>
        <v>0</v>
      </c>
      <c r="M6" s="65">
        <f t="shared" si="2"/>
        <v>0</v>
      </c>
    </row>
    <row r="7" spans="1:13" x14ac:dyDescent="0.3">
      <c r="A7" s="56" t="s">
        <v>71</v>
      </c>
      <c r="B7" s="56" t="s">
        <v>38</v>
      </c>
      <c r="C7" s="57"/>
      <c r="D7" s="56"/>
      <c r="E7" s="57"/>
      <c r="F7" s="58"/>
      <c r="G7" s="59"/>
      <c r="H7" s="59"/>
      <c r="I7" s="59"/>
      <c r="J7" s="59"/>
      <c r="K7" s="59"/>
      <c r="L7" s="59"/>
      <c r="M7" s="59">
        <f>SUM(G7:L7)</f>
        <v>0</v>
      </c>
    </row>
    <row r="8" spans="1:13" x14ac:dyDescent="0.3">
      <c r="A8" s="60"/>
      <c r="B8" s="61"/>
      <c r="C8" s="62"/>
      <c r="D8" s="63"/>
      <c r="E8" s="64"/>
      <c r="F8" s="61"/>
      <c r="G8" s="65">
        <f t="shared" ref="G8:M8" si="3">SUM(G7)</f>
        <v>0</v>
      </c>
      <c r="H8" s="65">
        <f t="shared" si="3"/>
        <v>0</v>
      </c>
      <c r="I8" s="65">
        <f t="shared" si="3"/>
        <v>0</v>
      </c>
      <c r="J8" s="65">
        <f t="shared" si="3"/>
        <v>0</v>
      </c>
      <c r="K8" s="65">
        <f t="shared" si="3"/>
        <v>0</v>
      </c>
      <c r="L8" s="65">
        <f t="shared" si="3"/>
        <v>0</v>
      </c>
      <c r="M8" s="65">
        <f t="shared" si="3"/>
        <v>0</v>
      </c>
    </row>
    <row r="9" spans="1:13" x14ac:dyDescent="0.3">
      <c r="A9" s="56" t="s">
        <v>52</v>
      </c>
      <c r="B9" s="56" t="s">
        <v>38</v>
      </c>
      <c r="C9" s="57">
        <v>44676</v>
      </c>
      <c r="D9" s="56" t="s">
        <v>42</v>
      </c>
      <c r="E9" s="57">
        <v>44686</v>
      </c>
      <c r="F9" s="58" t="s">
        <v>39</v>
      </c>
      <c r="G9" s="59"/>
      <c r="H9" s="59">
        <v>121.85</v>
      </c>
      <c r="I9" s="59"/>
      <c r="J9" s="59"/>
      <c r="K9" s="59"/>
      <c r="L9" s="59"/>
      <c r="M9" s="59">
        <f t="shared" ref="M9:M10" si="4">SUM(G9:L9)</f>
        <v>121.85</v>
      </c>
    </row>
    <row r="10" spans="1:13" x14ac:dyDescent="0.3">
      <c r="A10" s="56" t="s">
        <v>52</v>
      </c>
      <c r="B10" s="56" t="s">
        <v>38</v>
      </c>
      <c r="C10" s="57">
        <v>44686</v>
      </c>
      <c r="D10" s="56" t="s">
        <v>51</v>
      </c>
      <c r="E10" s="57">
        <v>44686</v>
      </c>
      <c r="F10" s="58" t="s">
        <v>39</v>
      </c>
      <c r="G10" s="59"/>
      <c r="H10" s="59"/>
      <c r="I10" s="59"/>
      <c r="J10" s="59"/>
      <c r="K10" s="59">
        <v>99.96</v>
      </c>
      <c r="L10" s="59"/>
      <c r="M10" s="59">
        <f t="shared" si="4"/>
        <v>99.96</v>
      </c>
    </row>
    <row r="11" spans="1:13" x14ac:dyDescent="0.3">
      <c r="A11" s="60"/>
      <c r="B11" s="61"/>
      <c r="C11" s="62"/>
      <c r="D11" s="63"/>
      <c r="E11" s="64"/>
      <c r="F11" s="61"/>
      <c r="G11" s="65">
        <f>SUM(G9:G10)</f>
        <v>0</v>
      </c>
      <c r="H11" s="65">
        <f t="shared" ref="H11:M11" si="5">SUM(H9:H10)</f>
        <v>121.85</v>
      </c>
      <c r="I11" s="65">
        <f t="shared" si="5"/>
        <v>0</v>
      </c>
      <c r="J11" s="65">
        <f t="shared" si="5"/>
        <v>0</v>
      </c>
      <c r="K11" s="65">
        <f t="shared" si="5"/>
        <v>99.96</v>
      </c>
      <c r="L11" s="65">
        <f t="shared" si="5"/>
        <v>0</v>
      </c>
      <c r="M11" s="65">
        <f t="shared" si="5"/>
        <v>221.81</v>
      </c>
    </row>
    <row r="12" spans="1:13" x14ac:dyDescent="0.3">
      <c r="A12" s="56" t="s">
        <v>50</v>
      </c>
      <c r="B12" s="56" t="s">
        <v>38</v>
      </c>
      <c r="C12" s="36">
        <v>44690</v>
      </c>
      <c r="D12" s="35" t="s">
        <v>51</v>
      </c>
      <c r="E12" s="36">
        <v>44686</v>
      </c>
      <c r="F12" s="37" t="s">
        <v>39</v>
      </c>
      <c r="G12" s="38"/>
      <c r="H12" s="38">
        <v>43.7</v>
      </c>
      <c r="I12" s="38"/>
      <c r="J12" s="38"/>
      <c r="K12" s="59"/>
      <c r="L12" s="59"/>
      <c r="M12" s="59">
        <f t="shared" ref="M12" si="6">SUM(G12:L12)</f>
        <v>43.7</v>
      </c>
    </row>
    <row r="13" spans="1:13" ht="15.75" customHeight="1" x14ac:dyDescent="0.3">
      <c r="A13" s="60"/>
      <c r="B13" s="61"/>
      <c r="C13" s="62"/>
      <c r="D13" s="63"/>
      <c r="E13" s="64"/>
      <c r="F13" s="61"/>
      <c r="G13" s="65">
        <f t="shared" ref="G13:M13" si="7">SUM(G12:G12)</f>
        <v>0</v>
      </c>
      <c r="H13" s="65">
        <f t="shared" si="7"/>
        <v>43.7</v>
      </c>
      <c r="I13" s="65">
        <f t="shared" si="7"/>
        <v>0</v>
      </c>
      <c r="J13" s="65">
        <f t="shared" si="7"/>
        <v>0</v>
      </c>
      <c r="K13" s="65">
        <f t="shared" si="7"/>
        <v>0</v>
      </c>
      <c r="L13" s="65">
        <f t="shared" si="7"/>
        <v>0</v>
      </c>
      <c r="M13" s="65">
        <f t="shared" si="7"/>
        <v>43.7</v>
      </c>
    </row>
    <row r="14" spans="1:13" x14ac:dyDescent="0.3">
      <c r="A14" s="56" t="s">
        <v>55</v>
      </c>
      <c r="B14" s="56" t="s">
        <v>38</v>
      </c>
      <c r="C14" s="36">
        <v>44729</v>
      </c>
      <c r="D14" s="35" t="s">
        <v>51</v>
      </c>
      <c r="E14" s="36">
        <v>44686</v>
      </c>
      <c r="F14" s="37" t="s">
        <v>39</v>
      </c>
      <c r="G14" s="38">
        <v>0</v>
      </c>
      <c r="H14" s="38">
        <v>145.4</v>
      </c>
      <c r="I14" s="38">
        <v>39.950000000000003</v>
      </c>
      <c r="J14" s="38">
        <v>4.8</v>
      </c>
      <c r="K14" s="38">
        <v>6.5</v>
      </c>
      <c r="L14" s="38">
        <v>0</v>
      </c>
      <c r="M14" s="59">
        <f t="shared" ref="M14" si="8">SUM(G14:L14)</f>
        <v>196.65000000000003</v>
      </c>
    </row>
    <row r="15" spans="1:13" x14ac:dyDescent="0.3">
      <c r="A15" s="60"/>
      <c r="B15" s="61"/>
      <c r="C15" s="62"/>
      <c r="D15" s="63"/>
      <c r="E15" s="64"/>
      <c r="F15" s="61"/>
      <c r="G15" s="65">
        <f t="shared" ref="G15:M15" si="9">SUM(G14:G14)</f>
        <v>0</v>
      </c>
      <c r="H15" s="65">
        <f t="shared" si="9"/>
        <v>145.4</v>
      </c>
      <c r="I15" s="65">
        <f t="shared" si="9"/>
        <v>39.950000000000003</v>
      </c>
      <c r="J15" s="65">
        <f t="shared" si="9"/>
        <v>4.8</v>
      </c>
      <c r="K15" s="65">
        <f t="shared" si="9"/>
        <v>6.5</v>
      </c>
      <c r="L15" s="65">
        <f t="shared" si="9"/>
        <v>0</v>
      </c>
      <c r="M15" s="65">
        <f t="shared" si="9"/>
        <v>196.65000000000003</v>
      </c>
    </row>
    <row r="16" spans="1:13" x14ac:dyDescent="0.3">
      <c r="A16" s="56" t="s">
        <v>41</v>
      </c>
      <c r="B16" s="56" t="s">
        <v>38</v>
      </c>
      <c r="C16" s="36">
        <v>44690</v>
      </c>
      <c r="D16" s="35" t="s">
        <v>42</v>
      </c>
      <c r="E16" s="36">
        <v>44686</v>
      </c>
      <c r="F16" s="37" t="s">
        <v>39</v>
      </c>
      <c r="G16" s="38">
        <v>0</v>
      </c>
      <c r="H16" s="38">
        <v>80.2</v>
      </c>
      <c r="I16" s="38">
        <v>6.7</v>
      </c>
      <c r="J16" s="38"/>
      <c r="K16" s="38"/>
      <c r="L16" s="38"/>
      <c r="M16" s="59">
        <f>SUM(G16:L16)</f>
        <v>86.9</v>
      </c>
    </row>
    <row r="17" spans="1:17" x14ac:dyDescent="0.3">
      <c r="A17" s="60"/>
      <c r="B17" s="61"/>
      <c r="C17" s="62"/>
      <c r="D17" s="63"/>
      <c r="E17" s="64"/>
      <c r="F17" s="61"/>
      <c r="G17" s="65">
        <f t="shared" ref="G17:L17" si="10">SUM(G16)</f>
        <v>0</v>
      </c>
      <c r="H17" s="65">
        <f t="shared" si="10"/>
        <v>80.2</v>
      </c>
      <c r="I17" s="65">
        <f t="shared" si="10"/>
        <v>6.7</v>
      </c>
      <c r="J17" s="65">
        <f t="shared" si="10"/>
        <v>0</v>
      </c>
      <c r="K17" s="65">
        <f t="shared" si="10"/>
        <v>0</v>
      </c>
      <c r="L17" s="65">
        <f t="shared" si="10"/>
        <v>0</v>
      </c>
      <c r="M17" s="65">
        <f>SUM(M16)</f>
        <v>86.9</v>
      </c>
    </row>
    <row r="18" spans="1:17" x14ac:dyDescent="0.3">
      <c r="A18" s="56" t="s">
        <v>97</v>
      </c>
      <c r="B18" s="56" t="s">
        <v>38</v>
      </c>
      <c r="C18" s="57"/>
      <c r="D18" s="66"/>
      <c r="E18" s="57"/>
      <c r="F18" s="58"/>
      <c r="G18" s="59"/>
      <c r="H18" s="59"/>
      <c r="I18" s="59"/>
      <c r="J18" s="59"/>
      <c r="K18" s="59"/>
      <c r="L18" s="59"/>
      <c r="M18" s="59">
        <f>SUM(G18:L18)</f>
        <v>0</v>
      </c>
    </row>
    <row r="19" spans="1:17" x14ac:dyDescent="0.3">
      <c r="A19" s="60"/>
      <c r="B19" s="61"/>
      <c r="C19" s="62"/>
      <c r="D19" s="63"/>
      <c r="E19" s="64"/>
      <c r="F19" s="61"/>
      <c r="G19" s="65">
        <f t="shared" ref="G19:M19" si="11">SUM(G18:G18)</f>
        <v>0</v>
      </c>
      <c r="H19" s="65">
        <f t="shared" si="11"/>
        <v>0</v>
      </c>
      <c r="I19" s="65">
        <f t="shared" si="11"/>
        <v>0</v>
      </c>
      <c r="J19" s="65">
        <f t="shared" si="11"/>
        <v>0</v>
      </c>
      <c r="K19" s="65">
        <f t="shared" si="11"/>
        <v>0</v>
      </c>
      <c r="L19" s="65">
        <f t="shared" si="11"/>
        <v>0</v>
      </c>
      <c r="M19" s="65">
        <f t="shared" si="11"/>
        <v>0</v>
      </c>
    </row>
    <row r="20" spans="1:17" x14ac:dyDescent="0.3">
      <c r="A20" s="56" t="s">
        <v>98</v>
      </c>
      <c r="B20" s="56" t="s">
        <v>38</v>
      </c>
      <c r="C20" s="57"/>
      <c r="D20" s="56"/>
      <c r="E20" s="57"/>
      <c r="F20" s="58"/>
      <c r="G20" s="59"/>
      <c r="H20" s="59"/>
      <c r="I20" s="59"/>
      <c r="J20" s="59"/>
      <c r="K20" s="59"/>
      <c r="L20" s="59"/>
      <c r="M20" s="59">
        <f t="shared" ref="M20" si="12">SUM(G20:L20)</f>
        <v>0</v>
      </c>
    </row>
    <row r="21" spans="1:17" x14ac:dyDescent="0.3">
      <c r="A21" s="60"/>
      <c r="B21" s="61"/>
      <c r="C21" s="62"/>
      <c r="D21" s="63"/>
      <c r="E21" s="64"/>
      <c r="F21" s="61"/>
      <c r="G21" s="65">
        <f t="shared" ref="G21:M21" si="13">SUM(G20:G20)</f>
        <v>0</v>
      </c>
      <c r="H21" s="65">
        <f t="shared" si="13"/>
        <v>0</v>
      </c>
      <c r="I21" s="65">
        <f t="shared" si="13"/>
        <v>0</v>
      </c>
      <c r="J21" s="65">
        <f t="shared" si="13"/>
        <v>0</v>
      </c>
      <c r="K21" s="65">
        <f t="shared" si="13"/>
        <v>0</v>
      </c>
      <c r="L21" s="65">
        <f t="shared" si="13"/>
        <v>0</v>
      </c>
      <c r="M21" s="65">
        <f t="shared" si="13"/>
        <v>0</v>
      </c>
    </row>
    <row r="22" spans="1:17" x14ac:dyDescent="0.3">
      <c r="A22" s="56" t="s">
        <v>56</v>
      </c>
      <c r="B22" s="56" t="s">
        <v>60</v>
      </c>
      <c r="C22" s="57">
        <v>44684</v>
      </c>
      <c r="D22" s="56" t="s">
        <v>40</v>
      </c>
      <c r="E22" s="57">
        <v>44686</v>
      </c>
      <c r="F22" s="58" t="s">
        <v>39</v>
      </c>
      <c r="G22" s="59"/>
      <c r="H22" s="59">
        <v>85.85</v>
      </c>
      <c r="I22" s="59"/>
      <c r="J22" s="59"/>
      <c r="K22" s="59"/>
      <c r="L22" s="59"/>
      <c r="M22" s="59">
        <f t="shared" ref="M22:M27" si="14">SUM(G22:L22)</f>
        <v>85.85</v>
      </c>
    </row>
    <row r="23" spans="1:17" x14ac:dyDescent="0.3">
      <c r="A23" s="56" t="s">
        <v>56</v>
      </c>
      <c r="B23" s="56" t="s">
        <v>60</v>
      </c>
      <c r="C23" s="57">
        <v>44704</v>
      </c>
      <c r="D23" s="35" t="s">
        <v>46</v>
      </c>
      <c r="E23" s="57">
        <v>44705</v>
      </c>
      <c r="F23" s="58" t="s">
        <v>39</v>
      </c>
      <c r="G23" s="59"/>
      <c r="H23" s="59">
        <v>85.95</v>
      </c>
      <c r="I23" s="59"/>
      <c r="J23" s="59"/>
      <c r="K23" s="59"/>
      <c r="L23" s="59"/>
      <c r="M23" s="59">
        <f t="shared" si="14"/>
        <v>85.95</v>
      </c>
    </row>
    <row r="24" spans="1:17" x14ac:dyDescent="0.3">
      <c r="A24" s="56" t="s">
        <v>56</v>
      </c>
      <c r="B24" s="56" t="s">
        <v>60</v>
      </c>
      <c r="C24" s="57">
        <v>44722</v>
      </c>
      <c r="D24" s="35" t="s">
        <v>46</v>
      </c>
      <c r="E24" s="57">
        <v>44725</v>
      </c>
      <c r="F24" s="58" t="s">
        <v>39</v>
      </c>
      <c r="G24" s="59"/>
      <c r="H24" s="59">
        <v>85.85</v>
      </c>
      <c r="I24" s="59"/>
      <c r="J24" s="59"/>
      <c r="K24" s="59"/>
      <c r="L24" s="59"/>
      <c r="M24" s="59">
        <f t="shared" si="14"/>
        <v>85.85</v>
      </c>
    </row>
    <row r="25" spans="1:17" x14ac:dyDescent="0.3">
      <c r="A25" s="56" t="s">
        <v>56</v>
      </c>
      <c r="B25" s="56" t="s">
        <v>60</v>
      </c>
      <c r="C25" s="57">
        <v>44732</v>
      </c>
      <c r="D25" s="35" t="s">
        <v>46</v>
      </c>
      <c r="E25" s="57">
        <v>44741</v>
      </c>
      <c r="F25" s="58" t="s">
        <v>39</v>
      </c>
      <c r="G25" s="59"/>
      <c r="H25" s="59">
        <v>85.85</v>
      </c>
      <c r="I25" s="59"/>
      <c r="J25" s="59"/>
      <c r="K25" s="59"/>
      <c r="L25" s="59"/>
      <c r="M25" s="59">
        <f t="shared" si="14"/>
        <v>85.85</v>
      </c>
    </row>
    <row r="26" spans="1:17" x14ac:dyDescent="0.3">
      <c r="A26" s="56" t="s">
        <v>56</v>
      </c>
      <c r="B26" s="56" t="s">
        <v>60</v>
      </c>
      <c r="C26" s="57">
        <v>44732</v>
      </c>
      <c r="D26" s="56" t="s">
        <v>65</v>
      </c>
      <c r="E26" s="57">
        <v>44742</v>
      </c>
      <c r="F26" s="58" t="s">
        <v>39</v>
      </c>
      <c r="G26" s="59"/>
      <c r="H26" s="59">
        <v>85.85</v>
      </c>
      <c r="I26" s="59"/>
      <c r="J26" s="59"/>
      <c r="K26" s="59"/>
      <c r="L26" s="59"/>
      <c r="M26" s="59">
        <f t="shared" si="14"/>
        <v>85.85</v>
      </c>
    </row>
    <row r="27" spans="1:17" x14ac:dyDescent="0.3">
      <c r="A27" s="56" t="s">
        <v>56</v>
      </c>
      <c r="B27" s="56" t="s">
        <v>60</v>
      </c>
      <c r="C27" s="57">
        <v>44763</v>
      </c>
      <c r="D27" s="35" t="s">
        <v>46</v>
      </c>
      <c r="E27" s="57">
        <v>44768</v>
      </c>
      <c r="F27" s="58" t="s">
        <v>39</v>
      </c>
      <c r="G27" s="59"/>
      <c r="H27" s="59">
        <v>85.6</v>
      </c>
      <c r="I27" s="59"/>
      <c r="J27" s="59"/>
      <c r="K27" s="59"/>
      <c r="L27" s="59"/>
      <c r="M27" s="59">
        <f t="shared" si="14"/>
        <v>85.6</v>
      </c>
    </row>
    <row r="28" spans="1:17" x14ac:dyDescent="0.3">
      <c r="A28" s="60"/>
      <c r="B28" s="61"/>
      <c r="C28" s="62"/>
      <c r="D28" s="63"/>
      <c r="E28" s="64"/>
      <c r="F28" s="61"/>
      <c r="G28" s="65">
        <f t="shared" ref="G28:M28" si="15">SUM(G22:G27)</f>
        <v>0</v>
      </c>
      <c r="H28" s="65">
        <f t="shared" si="15"/>
        <v>514.95000000000005</v>
      </c>
      <c r="I28" s="65">
        <f t="shared" si="15"/>
        <v>0</v>
      </c>
      <c r="J28" s="65">
        <f t="shared" si="15"/>
        <v>0</v>
      </c>
      <c r="K28" s="65">
        <f t="shared" si="15"/>
        <v>0</v>
      </c>
      <c r="L28" s="65">
        <f t="shared" si="15"/>
        <v>0</v>
      </c>
      <c r="M28" s="65">
        <f t="shared" si="15"/>
        <v>514.95000000000005</v>
      </c>
    </row>
    <row r="29" spans="1:17" x14ac:dyDescent="0.3">
      <c r="A29" s="56" t="s">
        <v>36</v>
      </c>
      <c r="B29" s="56" t="s">
        <v>37</v>
      </c>
      <c r="C29" s="36">
        <v>44662</v>
      </c>
      <c r="D29" s="47" t="s">
        <v>40</v>
      </c>
      <c r="E29" s="36">
        <v>44685</v>
      </c>
      <c r="F29" s="37" t="s">
        <v>39</v>
      </c>
      <c r="G29" s="38"/>
      <c r="H29" s="38">
        <v>269.35000000000002</v>
      </c>
      <c r="I29" s="38"/>
      <c r="J29" s="38"/>
      <c r="K29" s="38">
        <v>234.76</v>
      </c>
      <c r="L29" s="38"/>
      <c r="M29" s="59">
        <f>SUM(G29:L29)</f>
        <v>504.11</v>
      </c>
    </row>
    <row r="30" spans="1:17" x14ac:dyDescent="0.3">
      <c r="A30" s="56" t="s">
        <v>36</v>
      </c>
      <c r="B30" s="56" t="s">
        <v>37</v>
      </c>
      <c r="C30" s="36">
        <v>44687</v>
      </c>
      <c r="D30" s="47" t="s">
        <v>40</v>
      </c>
      <c r="E30" s="36">
        <v>44686</v>
      </c>
      <c r="F30" s="37" t="s">
        <v>39</v>
      </c>
      <c r="G30" s="38"/>
      <c r="H30" s="38"/>
      <c r="I30" s="38"/>
      <c r="J30" s="38"/>
      <c r="K30" s="38">
        <v>31.19</v>
      </c>
      <c r="L30" s="38"/>
      <c r="M30" s="59">
        <f>SUM(G30:L30)</f>
        <v>31.19</v>
      </c>
    </row>
    <row r="31" spans="1:17" x14ac:dyDescent="0.3">
      <c r="A31" s="56" t="s">
        <v>36</v>
      </c>
      <c r="B31" s="56" t="s">
        <v>37</v>
      </c>
      <c r="C31" s="36">
        <v>44706</v>
      </c>
      <c r="D31" s="35" t="s">
        <v>46</v>
      </c>
      <c r="E31" s="36" t="s">
        <v>45</v>
      </c>
      <c r="F31" s="37" t="s">
        <v>39</v>
      </c>
      <c r="G31" s="38"/>
      <c r="H31" s="38">
        <v>374.35</v>
      </c>
      <c r="I31" s="38"/>
      <c r="J31" s="38"/>
      <c r="K31" s="38">
        <f>35.64+253.76</f>
        <v>289.39999999999998</v>
      </c>
      <c r="L31" s="38"/>
      <c r="M31" s="59">
        <f t="shared" ref="M31:M32" si="16">SUM(G31:L31)</f>
        <v>663.75</v>
      </c>
    </row>
    <row r="32" spans="1:17" x14ac:dyDescent="0.3">
      <c r="A32" s="56" t="s">
        <v>36</v>
      </c>
      <c r="B32" s="56" t="s">
        <v>37</v>
      </c>
      <c r="C32" s="36">
        <v>44734</v>
      </c>
      <c r="D32" s="35" t="s">
        <v>48</v>
      </c>
      <c r="E32" s="36">
        <v>44866</v>
      </c>
      <c r="F32" s="37" t="s">
        <v>49</v>
      </c>
      <c r="G32" s="38"/>
      <c r="H32" s="38"/>
      <c r="I32" s="38"/>
      <c r="J32" s="38"/>
      <c r="K32" s="38"/>
      <c r="L32" s="38">
        <v>234</v>
      </c>
      <c r="M32" s="59">
        <f t="shared" si="16"/>
        <v>234</v>
      </c>
      <c r="Q32" s="2"/>
    </row>
    <row r="33" spans="1:18" x14ac:dyDescent="0.3">
      <c r="A33" s="60"/>
      <c r="B33" s="61"/>
      <c r="C33" s="62"/>
      <c r="D33" s="63"/>
      <c r="E33" s="64"/>
      <c r="F33" s="61"/>
      <c r="G33" s="65">
        <f t="shared" ref="G33:M33" si="17">SUM(G30:G32)</f>
        <v>0</v>
      </c>
      <c r="H33" s="65">
        <f t="shared" si="17"/>
        <v>374.35</v>
      </c>
      <c r="I33" s="65">
        <f t="shared" si="17"/>
        <v>0</v>
      </c>
      <c r="J33" s="65">
        <f t="shared" si="17"/>
        <v>0</v>
      </c>
      <c r="K33" s="65">
        <f t="shared" si="17"/>
        <v>320.58999999999997</v>
      </c>
      <c r="L33" s="65">
        <f t="shared" si="17"/>
        <v>234</v>
      </c>
      <c r="M33" s="65">
        <f t="shared" si="17"/>
        <v>928.94</v>
      </c>
      <c r="Q33" s="2"/>
    </row>
    <row r="34" spans="1:18" x14ac:dyDescent="0.3">
      <c r="A34" s="56" t="s">
        <v>35</v>
      </c>
      <c r="B34" s="56" t="s">
        <v>59</v>
      </c>
      <c r="C34" s="36">
        <v>44656</v>
      </c>
      <c r="D34" s="47" t="s">
        <v>40</v>
      </c>
      <c r="E34" s="36">
        <v>44656</v>
      </c>
      <c r="F34" s="37" t="s">
        <v>39</v>
      </c>
      <c r="G34" s="38"/>
      <c r="H34" s="38"/>
      <c r="I34" s="38"/>
      <c r="J34" s="38"/>
      <c r="K34" s="38">
        <v>133.06</v>
      </c>
      <c r="L34" s="38"/>
      <c r="M34" s="59">
        <f>SUM(G34:L34)</f>
        <v>133.06</v>
      </c>
      <c r="Q34" s="2"/>
    </row>
    <row r="35" spans="1:18" x14ac:dyDescent="0.3">
      <c r="A35" s="56" t="s">
        <v>35</v>
      </c>
      <c r="B35" s="56" t="s">
        <v>59</v>
      </c>
      <c r="C35" s="36">
        <v>44677</v>
      </c>
      <c r="D35" s="47" t="s">
        <v>40</v>
      </c>
      <c r="E35" s="47">
        <v>44686</v>
      </c>
      <c r="F35" s="37"/>
      <c r="G35" s="38"/>
      <c r="H35" s="38"/>
      <c r="I35" s="38"/>
      <c r="J35" s="38"/>
      <c r="K35" s="38">
        <v>128.96</v>
      </c>
      <c r="L35" s="38">
        <v>47.49</v>
      </c>
      <c r="M35" s="59">
        <f>SUM(G35:L35)</f>
        <v>176.45000000000002</v>
      </c>
      <c r="Q35" s="2"/>
    </row>
    <row r="36" spans="1:18" x14ac:dyDescent="0.3">
      <c r="A36" s="56" t="s">
        <v>35</v>
      </c>
      <c r="B36" s="56" t="s">
        <v>59</v>
      </c>
      <c r="C36" s="36">
        <v>44687</v>
      </c>
      <c r="D36" s="47" t="s">
        <v>40</v>
      </c>
      <c r="E36" s="36">
        <v>44686</v>
      </c>
      <c r="F36" s="37" t="s">
        <v>39</v>
      </c>
      <c r="G36" s="38"/>
      <c r="H36" s="38"/>
      <c r="I36" s="38"/>
      <c r="J36" s="38"/>
      <c r="K36" s="38">
        <v>56.42</v>
      </c>
      <c r="L36" s="38"/>
      <c r="M36" s="59">
        <f>SUM(G36:L36)</f>
        <v>56.42</v>
      </c>
      <c r="Q36" s="2"/>
    </row>
    <row r="37" spans="1:18" x14ac:dyDescent="0.3">
      <c r="A37" s="56" t="s">
        <v>35</v>
      </c>
      <c r="B37" s="56" t="s">
        <v>59</v>
      </c>
      <c r="C37" s="36">
        <v>44665</v>
      </c>
      <c r="D37" s="35" t="s">
        <v>46</v>
      </c>
      <c r="E37" s="36">
        <v>44705</v>
      </c>
      <c r="F37" s="37" t="s">
        <v>39</v>
      </c>
      <c r="G37" s="38">
        <v>204.16</v>
      </c>
      <c r="H37" s="38"/>
      <c r="I37" s="38"/>
      <c r="J37" s="38"/>
      <c r="K37" s="38">
        <v>139.71</v>
      </c>
      <c r="L37" s="38"/>
      <c r="M37" s="59">
        <f t="shared" ref="M37" si="18">SUM(G37:L37)</f>
        <v>343.87</v>
      </c>
      <c r="Q37" s="2"/>
    </row>
    <row r="38" spans="1:18" x14ac:dyDescent="0.3">
      <c r="A38" s="56" t="s">
        <v>35</v>
      </c>
      <c r="B38" s="56" t="s">
        <v>59</v>
      </c>
      <c r="C38" s="36">
        <v>44722</v>
      </c>
      <c r="D38" s="35" t="s">
        <v>46</v>
      </c>
      <c r="E38" s="36" t="s">
        <v>47</v>
      </c>
      <c r="F38" s="37" t="s">
        <v>39</v>
      </c>
      <c r="G38" s="38"/>
      <c r="H38" s="38">
        <v>8.8000000000000007</v>
      </c>
      <c r="I38" s="38"/>
      <c r="J38" s="38"/>
      <c r="K38" s="38"/>
      <c r="L38" s="38"/>
      <c r="M38" s="59">
        <f>SUM(G38:L38)</f>
        <v>8.8000000000000007</v>
      </c>
    </row>
    <row r="39" spans="1:18" x14ac:dyDescent="0.3">
      <c r="A39" s="56" t="s">
        <v>35</v>
      </c>
      <c r="B39" s="56" t="s">
        <v>59</v>
      </c>
      <c r="C39" s="36">
        <v>44722</v>
      </c>
      <c r="D39" s="47" t="s">
        <v>44</v>
      </c>
      <c r="E39" s="36">
        <v>44712</v>
      </c>
      <c r="F39" s="37" t="s">
        <v>43</v>
      </c>
      <c r="G39" s="38"/>
      <c r="H39" s="38"/>
      <c r="I39" s="38">
        <v>5.95</v>
      </c>
      <c r="J39" s="38"/>
      <c r="K39" s="38"/>
      <c r="L39" s="38"/>
      <c r="M39" s="59">
        <f t="shared" ref="M39" si="19">SUM(G39:L39)</f>
        <v>5.95</v>
      </c>
    </row>
    <row r="40" spans="1:18" x14ac:dyDescent="0.3">
      <c r="A40" s="56" t="s">
        <v>35</v>
      </c>
      <c r="B40" s="56" t="s">
        <v>59</v>
      </c>
      <c r="C40" s="36">
        <v>44706</v>
      </c>
      <c r="D40" s="35" t="s">
        <v>66</v>
      </c>
      <c r="E40" s="36">
        <v>44741</v>
      </c>
      <c r="F40" s="37" t="s">
        <v>39</v>
      </c>
      <c r="G40" s="38">
        <v>335.16</v>
      </c>
      <c r="H40" s="38"/>
      <c r="I40" s="38"/>
      <c r="J40" s="38"/>
      <c r="K40" s="38">
        <v>198.96</v>
      </c>
      <c r="L40" s="38">
        <v>61.49</v>
      </c>
      <c r="M40" s="59"/>
    </row>
    <row r="41" spans="1:18" x14ac:dyDescent="0.3">
      <c r="A41" s="60"/>
      <c r="B41" s="61"/>
      <c r="C41" s="62"/>
      <c r="D41" s="63"/>
      <c r="E41" s="64"/>
      <c r="F41" s="61"/>
      <c r="G41" s="65">
        <f t="shared" ref="G41:M41" si="20">SUM(G34:G40)</f>
        <v>539.32000000000005</v>
      </c>
      <c r="H41" s="65">
        <f t="shared" si="20"/>
        <v>8.8000000000000007</v>
      </c>
      <c r="I41" s="65">
        <f t="shared" si="20"/>
        <v>5.95</v>
      </c>
      <c r="J41" s="65">
        <f t="shared" si="20"/>
        <v>0</v>
      </c>
      <c r="K41" s="65">
        <f t="shared" si="20"/>
        <v>657.11</v>
      </c>
      <c r="L41" s="65">
        <f t="shared" si="20"/>
        <v>108.98</v>
      </c>
      <c r="M41" s="65">
        <f t="shared" si="20"/>
        <v>724.55</v>
      </c>
    </row>
    <row r="42" spans="1:18" x14ac:dyDescent="0.3">
      <c r="A42" s="56" t="s">
        <v>57</v>
      </c>
      <c r="B42" s="56" t="s">
        <v>58</v>
      </c>
      <c r="C42" s="57"/>
      <c r="D42" s="56"/>
      <c r="E42" s="57"/>
      <c r="F42" s="58"/>
      <c r="G42" s="59"/>
      <c r="H42" s="59"/>
      <c r="I42" s="59"/>
      <c r="J42" s="59"/>
      <c r="K42" s="59"/>
      <c r="L42" s="59"/>
      <c r="M42" s="59">
        <f>SUM(G42:L42)</f>
        <v>0</v>
      </c>
    </row>
    <row r="43" spans="1:18" x14ac:dyDescent="0.3">
      <c r="A43" s="60"/>
      <c r="B43" s="61"/>
      <c r="C43" s="62"/>
      <c r="D43" s="63"/>
      <c r="E43" s="64"/>
      <c r="F43" s="61"/>
      <c r="G43" s="65">
        <f t="shared" ref="G43:M43" si="21">SUM(G42:G42)</f>
        <v>0</v>
      </c>
      <c r="H43" s="65">
        <f t="shared" si="21"/>
        <v>0</v>
      </c>
      <c r="I43" s="65">
        <f t="shared" si="21"/>
        <v>0</v>
      </c>
      <c r="J43" s="65">
        <f t="shared" si="21"/>
        <v>0</v>
      </c>
      <c r="K43" s="65">
        <f t="shared" si="21"/>
        <v>0</v>
      </c>
      <c r="L43" s="65">
        <f t="shared" si="21"/>
        <v>0</v>
      </c>
      <c r="M43" s="65">
        <f t="shared" si="21"/>
        <v>0</v>
      </c>
      <c r="O43" s="10"/>
      <c r="R43" s="11"/>
    </row>
    <row r="44" spans="1:18" x14ac:dyDescent="0.3">
      <c r="A44" s="67" t="s">
        <v>17</v>
      </c>
      <c r="B44" s="68"/>
      <c r="C44" s="69"/>
      <c r="D44" s="70"/>
      <c r="E44" s="71"/>
      <c r="F44" s="68"/>
      <c r="G44" s="72">
        <f t="shared" ref="G44:M44" si="22">G43+G41+G33+G28+G21+G19+G17+G15+G13+G11+G8+G6+G4</f>
        <v>539.32000000000005</v>
      </c>
      <c r="H44" s="72">
        <f t="shared" si="22"/>
        <v>1289.2500000000002</v>
      </c>
      <c r="I44" s="72">
        <f t="shared" si="22"/>
        <v>52.6</v>
      </c>
      <c r="J44" s="72">
        <f t="shared" si="22"/>
        <v>4.8</v>
      </c>
      <c r="K44" s="72">
        <f t="shared" si="22"/>
        <v>1084.1600000000001</v>
      </c>
      <c r="L44" s="72">
        <f t="shared" si="22"/>
        <v>342.98</v>
      </c>
      <c r="M44" s="72">
        <f t="shared" si="22"/>
        <v>2717.5</v>
      </c>
    </row>
    <row r="45" spans="1:18" ht="17.25" thickBot="1" x14ac:dyDescent="0.3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8" ht="17.25" thickBot="1" x14ac:dyDescent="0.35">
      <c r="A46" s="53"/>
      <c r="B46" s="53"/>
      <c r="C46" s="53"/>
      <c r="D46" s="53"/>
      <c r="E46" s="53"/>
      <c r="F46" s="13" t="s">
        <v>13</v>
      </c>
      <c r="G46" s="73"/>
      <c r="H46" s="73"/>
      <c r="I46" s="73"/>
      <c r="J46" s="73"/>
      <c r="K46" s="73"/>
      <c r="L46" s="73"/>
      <c r="M46" s="74"/>
    </row>
    <row r="47" spans="1:18" ht="52.5" x14ac:dyDescent="0.3">
      <c r="A47" s="53"/>
      <c r="B47" s="53"/>
      <c r="C47" s="53"/>
      <c r="D47" s="53"/>
      <c r="E47" s="53"/>
      <c r="F47" s="75"/>
      <c r="G47" s="76" t="s">
        <v>6</v>
      </c>
      <c r="H47" s="77" t="s">
        <v>8</v>
      </c>
      <c r="I47" s="77" t="s">
        <v>27</v>
      </c>
      <c r="J47" s="77" t="s">
        <v>28</v>
      </c>
      <c r="K47" s="77" t="s">
        <v>10</v>
      </c>
      <c r="L47" s="77" t="s">
        <v>11</v>
      </c>
      <c r="M47" s="78" t="s">
        <v>12</v>
      </c>
    </row>
    <row r="48" spans="1:18" x14ac:dyDescent="0.3">
      <c r="A48" s="53"/>
      <c r="B48" s="53"/>
      <c r="C48" s="53"/>
      <c r="D48" s="53"/>
      <c r="E48" s="53"/>
      <c r="F48" s="79" t="s">
        <v>18</v>
      </c>
      <c r="G48" s="80">
        <f t="shared" ref="G48:M48" si="23">G44-G49</f>
        <v>0</v>
      </c>
      <c r="H48" s="80">
        <f t="shared" si="23"/>
        <v>391.15000000000009</v>
      </c>
      <c r="I48" s="80">
        <f t="shared" si="23"/>
        <v>46.65</v>
      </c>
      <c r="J48" s="80">
        <f t="shared" si="23"/>
        <v>4.8</v>
      </c>
      <c r="K48" s="80">
        <f t="shared" si="23"/>
        <v>106.46000000000004</v>
      </c>
      <c r="L48" s="80">
        <f t="shared" si="23"/>
        <v>0</v>
      </c>
      <c r="M48" s="80">
        <f t="shared" si="23"/>
        <v>549.05999999999995</v>
      </c>
    </row>
    <row r="49" spans="1:13" x14ac:dyDescent="0.3">
      <c r="A49" s="53"/>
      <c r="B49" s="53"/>
      <c r="C49" s="53"/>
      <c r="D49" s="53"/>
      <c r="E49" s="53"/>
      <c r="F49" s="79" t="s">
        <v>19</v>
      </c>
      <c r="G49" s="80">
        <f t="shared" ref="G49:M49" si="24">G43+G41+G33+G28</f>
        <v>539.32000000000005</v>
      </c>
      <c r="H49" s="80">
        <f t="shared" si="24"/>
        <v>898.10000000000014</v>
      </c>
      <c r="I49" s="80">
        <f t="shared" si="24"/>
        <v>5.95</v>
      </c>
      <c r="J49" s="80">
        <f t="shared" si="24"/>
        <v>0</v>
      </c>
      <c r="K49" s="80">
        <f t="shared" si="24"/>
        <v>977.7</v>
      </c>
      <c r="L49" s="80">
        <f t="shared" si="24"/>
        <v>342.98</v>
      </c>
      <c r="M49" s="80">
        <f t="shared" si="24"/>
        <v>2168.44</v>
      </c>
    </row>
    <row r="50" spans="1:13" x14ac:dyDescent="0.3">
      <c r="A50" s="53"/>
      <c r="B50" s="53"/>
      <c r="C50" s="53"/>
      <c r="D50" s="53"/>
      <c r="E50" s="53"/>
      <c r="F50" s="81" t="s">
        <v>20</v>
      </c>
      <c r="G50" s="82">
        <f t="shared" ref="G50:L50" si="25">SUM(G48:G49)</f>
        <v>539.32000000000005</v>
      </c>
      <c r="H50" s="82">
        <f t="shared" si="25"/>
        <v>1289.2500000000002</v>
      </c>
      <c r="I50" s="82">
        <f t="shared" si="25"/>
        <v>52.6</v>
      </c>
      <c r="J50" s="82">
        <f t="shared" si="25"/>
        <v>4.8</v>
      </c>
      <c r="K50" s="82">
        <f t="shared" si="25"/>
        <v>1084.1600000000001</v>
      </c>
      <c r="L50" s="82">
        <f t="shared" si="25"/>
        <v>342.98</v>
      </c>
      <c r="M50" s="83">
        <f>SUM(G50:L50)</f>
        <v>3313.11</v>
      </c>
    </row>
    <row r="51" spans="1:13" ht="17.25" thickBot="1" x14ac:dyDescent="0.35">
      <c r="A51" s="53"/>
      <c r="B51" s="53"/>
      <c r="C51" s="53"/>
      <c r="D51" s="53"/>
      <c r="E51" s="53"/>
      <c r="F51" s="84" t="s">
        <v>21</v>
      </c>
      <c r="G51" s="85">
        <f t="shared" ref="G51:L51" si="26">SUM(G50:G50)</f>
        <v>539.32000000000005</v>
      </c>
      <c r="H51" s="85">
        <f t="shared" si="26"/>
        <v>1289.2500000000002</v>
      </c>
      <c r="I51" s="85">
        <f t="shared" si="26"/>
        <v>52.6</v>
      </c>
      <c r="J51" s="85">
        <f t="shared" si="26"/>
        <v>4.8</v>
      </c>
      <c r="K51" s="85">
        <f t="shared" si="26"/>
        <v>1084.1600000000001</v>
      </c>
      <c r="L51" s="85">
        <f t="shared" si="26"/>
        <v>342.98</v>
      </c>
      <c r="M51" s="86">
        <f>SUM(G51:L51)</f>
        <v>3313.11</v>
      </c>
    </row>
    <row r="52" spans="1:13" x14ac:dyDescent="0.3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</sheetData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zoomScale="85" zoomScaleNormal="85" workbookViewId="0">
      <pane xSplit="1" ySplit="2" topLeftCell="B12" activePane="bottomRight" state="frozen"/>
      <selection sqref="A1:XFD1048576"/>
      <selection pane="topRight" sqref="A1:XFD1048576"/>
      <selection pane="bottomLeft" sqref="A1:XFD1048576"/>
      <selection pane="bottomRight" activeCell="A5" sqref="A5"/>
    </sheetView>
  </sheetViews>
  <sheetFormatPr defaultColWidth="9.140625" defaultRowHeight="16.5" x14ac:dyDescent="0.3"/>
  <cols>
    <col min="1" max="1" width="22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.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8</v>
      </c>
      <c r="I2" s="34" t="s">
        <v>23</v>
      </c>
      <c r="J2" s="34" t="s">
        <v>24</v>
      </c>
      <c r="K2" s="34" t="s">
        <v>10</v>
      </c>
      <c r="L2" s="34" t="s">
        <v>11</v>
      </c>
      <c r="M2" s="34" t="s">
        <v>12</v>
      </c>
    </row>
    <row r="3" spans="1:13" x14ac:dyDescent="0.3">
      <c r="A3" s="56" t="s">
        <v>53</v>
      </c>
      <c r="B3" s="56" t="s">
        <v>38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46" t="s">
        <v>53</v>
      </c>
      <c r="B4" s="39"/>
      <c r="C4" s="41"/>
      <c r="D4" s="42"/>
      <c r="E4" s="43"/>
      <c r="F4" s="39"/>
      <c r="G4" s="44">
        <f>SUM(G3)</f>
        <v>0</v>
      </c>
      <c r="H4" s="44">
        <f t="shared" ref="H4:L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/>
    </row>
    <row r="5" spans="1:13" x14ac:dyDescent="0.3">
      <c r="A5" s="56" t="s">
        <v>70</v>
      </c>
      <c r="B5" s="56" t="s">
        <v>38</v>
      </c>
      <c r="C5" s="36"/>
      <c r="D5" s="35"/>
      <c r="E5" s="36"/>
      <c r="F5" s="37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f>SUM(G5:L5)</f>
        <v>0</v>
      </c>
    </row>
    <row r="6" spans="1:13" x14ac:dyDescent="0.3">
      <c r="A6" s="46" t="s">
        <v>70</v>
      </c>
      <c r="B6" s="39"/>
      <c r="C6" s="41"/>
      <c r="D6" s="42"/>
      <c r="E6" s="43"/>
      <c r="F6" s="39"/>
      <c r="G6" s="44">
        <f>SUM(G5)</f>
        <v>0</v>
      </c>
      <c r="H6" s="44">
        <f t="shared" ref="H6:L6" si="1">SUM(H5)</f>
        <v>0</v>
      </c>
      <c r="I6" s="44">
        <f t="shared" si="1"/>
        <v>0</v>
      </c>
      <c r="J6" s="44">
        <f t="shared" si="1"/>
        <v>0</v>
      </c>
      <c r="K6" s="44">
        <f t="shared" si="1"/>
        <v>0</v>
      </c>
      <c r="L6" s="44">
        <f t="shared" si="1"/>
        <v>0</v>
      </c>
      <c r="M6" s="44"/>
    </row>
    <row r="7" spans="1:13" x14ac:dyDescent="0.3">
      <c r="A7" s="56" t="s">
        <v>54</v>
      </c>
      <c r="B7" s="56" t="s">
        <v>38</v>
      </c>
      <c r="C7" s="36"/>
      <c r="D7" s="35"/>
      <c r="E7" s="36"/>
      <c r="F7" s="37"/>
      <c r="G7" s="38">
        <v>0</v>
      </c>
      <c r="H7" s="38"/>
      <c r="I7" s="38"/>
      <c r="J7" s="38"/>
      <c r="K7" s="38"/>
      <c r="L7" s="38"/>
      <c r="M7" s="38">
        <f>SUM(G7:L7)</f>
        <v>0</v>
      </c>
    </row>
    <row r="8" spans="1:13" x14ac:dyDescent="0.3">
      <c r="A8" s="46" t="s">
        <v>54</v>
      </c>
      <c r="B8" s="39"/>
      <c r="C8" s="41"/>
      <c r="D8" s="42"/>
      <c r="E8" s="43"/>
      <c r="F8" s="39"/>
      <c r="G8" s="44">
        <f>SUM(G7)</f>
        <v>0</v>
      </c>
      <c r="H8" s="44">
        <f t="shared" ref="H8:L8" si="2">SUM(H7)</f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44">
        <f t="shared" si="2"/>
        <v>0</v>
      </c>
      <c r="M8" s="44"/>
    </row>
    <row r="9" spans="1:13" x14ac:dyDescent="0.3">
      <c r="A9" s="56" t="s">
        <v>52</v>
      </c>
      <c r="B9" s="56" t="s">
        <v>38</v>
      </c>
      <c r="C9" s="36"/>
      <c r="D9" s="35"/>
      <c r="E9" s="36"/>
      <c r="F9" s="37"/>
      <c r="G9" s="38"/>
      <c r="H9" s="38"/>
      <c r="I9" s="38"/>
      <c r="J9" s="38"/>
      <c r="K9" s="38"/>
      <c r="L9" s="38"/>
      <c r="M9" s="38">
        <f>SUM(G9:L9)</f>
        <v>0</v>
      </c>
    </row>
    <row r="10" spans="1:13" x14ac:dyDescent="0.3">
      <c r="A10" s="46" t="s">
        <v>52</v>
      </c>
      <c r="B10" s="39"/>
      <c r="C10" s="41"/>
      <c r="D10" s="42"/>
      <c r="E10" s="43"/>
      <c r="F10" s="39"/>
      <c r="G10" s="44">
        <f t="shared" ref="G10:M10" si="3">SUM(G9:G9)</f>
        <v>0</v>
      </c>
      <c r="H10" s="44">
        <f t="shared" si="3"/>
        <v>0</v>
      </c>
      <c r="I10" s="44">
        <f t="shared" si="3"/>
        <v>0</v>
      </c>
      <c r="J10" s="44">
        <f t="shared" si="3"/>
        <v>0</v>
      </c>
      <c r="K10" s="44">
        <f t="shared" si="3"/>
        <v>0</v>
      </c>
      <c r="L10" s="44">
        <f t="shared" si="3"/>
        <v>0</v>
      </c>
      <c r="M10" s="44">
        <f t="shared" si="3"/>
        <v>0</v>
      </c>
    </row>
    <row r="11" spans="1:13" x14ac:dyDescent="0.3">
      <c r="A11" s="56" t="s">
        <v>50</v>
      </c>
      <c r="B11" s="56" t="s">
        <v>38</v>
      </c>
      <c r="C11" s="36"/>
      <c r="D11" s="47"/>
      <c r="E11" s="36"/>
      <c r="F11" s="37"/>
      <c r="G11" s="38"/>
      <c r="H11" s="38"/>
      <c r="I11" s="38"/>
      <c r="J11" s="38"/>
      <c r="K11" s="38"/>
      <c r="L11" s="38"/>
      <c r="M11" s="38">
        <f>SUM(G11:L11)</f>
        <v>0</v>
      </c>
    </row>
    <row r="12" spans="1:13" x14ac:dyDescent="0.3">
      <c r="A12" s="41" t="s">
        <v>50</v>
      </c>
      <c r="B12" s="41"/>
      <c r="C12" s="41"/>
      <c r="D12" s="42"/>
      <c r="E12" s="43"/>
      <c r="F12" s="39"/>
      <c r="G12" s="44">
        <f t="shared" ref="G12:M12" si="4">SUM(G11:G11)</f>
        <v>0</v>
      </c>
      <c r="H12" s="44">
        <f t="shared" si="4"/>
        <v>0</v>
      </c>
      <c r="I12" s="44">
        <f t="shared" si="4"/>
        <v>0</v>
      </c>
      <c r="J12" s="44">
        <f t="shared" si="4"/>
        <v>0</v>
      </c>
      <c r="K12" s="44">
        <f t="shared" si="4"/>
        <v>0</v>
      </c>
      <c r="L12" s="44">
        <f t="shared" si="4"/>
        <v>0</v>
      </c>
      <c r="M12" s="44">
        <f t="shared" si="4"/>
        <v>0</v>
      </c>
    </row>
    <row r="13" spans="1:13" x14ac:dyDescent="0.3">
      <c r="A13" s="56" t="s">
        <v>55</v>
      </c>
      <c r="B13" s="56" t="s">
        <v>38</v>
      </c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>
        <f>SUM(G13:L13)</f>
        <v>0</v>
      </c>
    </row>
    <row r="14" spans="1:13" x14ac:dyDescent="0.3">
      <c r="A14" s="41" t="s">
        <v>55</v>
      </c>
      <c r="B14" s="41"/>
      <c r="C14" s="41"/>
      <c r="D14" s="42"/>
      <c r="E14" s="43"/>
      <c r="F14" s="39"/>
      <c r="G14" s="44">
        <f t="shared" ref="G14:M14" si="5">SUM(G13:G13)</f>
        <v>0</v>
      </c>
      <c r="H14" s="44">
        <f t="shared" si="5"/>
        <v>0</v>
      </c>
      <c r="I14" s="44">
        <f t="shared" si="5"/>
        <v>0</v>
      </c>
      <c r="J14" s="44">
        <f t="shared" si="5"/>
        <v>0</v>
      </c>
      <c r="K14" s="44">
        <f t="shared" si="5"/>
        <v>0</v>
      </c>
      <c r="L14" s="44">
        <f t="shared" si="5"/>
        <v>0</v>
      </c>
      <c r="M14" s="44">
        <f t="shared" si="5"/>
        <v>0</v>
      </c>
    </row>
    <row r="15" spans="1:13" x14ac:dyDescent="0.3">
      <c r="A15" s="56" t="s">
        <v>41</v>
      </c>
      <c r="B15" s="56" t="s">
        <v>38</v>
      </c>
      <c r="C15" s="36"/>
      <c r="D15" s="47"/>
      <c r="E15" s="36"/>
      <c r="F15" s="37"/>
      <c r="G15" s="38"/>
      <c r="H15" s="38"/>
      <c r="I15" s="38"/>
      <c r="J15" s="38"/>
      <c r="K15" s="38"/>
      <c r="L15" s="38"/>
      <c r="M15" s="38">
        <f t="shared" ref="M15:M33" si="6">SUM(G15:L15)</f>
        <v>0</v>
      </c>
    </row>
    <row r="16" spans="1:13" x14ac:dyDescent="0.3">
      <c r="A16" s="60" t="s">
        <v>41</v>
      </c>
      <c r="B16" s="61"/>
      <c r="C16" s="41"/>
      <c r="D16" s="42"/>
      <c r="E16" s="43"/>
      <c r="F16" s="39"/>
      <c r="G16" s="44">
        <f t="shared" ref="G16:M16" si="7">SUM(G15:G15)</f>
        <v>0</v>
      </c>
      <c r="H16" s="44">
        <f t="shared" si="7"/>
        <v>0</v>
      </c>
      <c r="I16" s="44">
        <f t="shared" si="7"/>
        <v>0</v>
      </c>
      <c r="J16" s="44">
        <f t="shared" si="7"/>
        <v>0</v>
      </c>
      <c r="K16" s="44">
        <f t="shared" si="7"/>
        <v>0</v>
      </c>
      <c r="L16" s="44">
        <f t="shared" si="7"/>
        <v>0</v>
      </c>
      <c r="M16" s="44">
        <f t="shared" si="7"/>
        <v>0</v>
      </c>
    </row>
    <row r="17" spans="1:17" x14ac:dyDescent="0.3">
      <c r="A17" s="56" t="s">
        <v>109</v>
      </c>
      <c r="B17" s="56" t="s">
        <v>38</v>
      </c>
      <c r="C17" s="36"/>
      <c r="D17" s="35"/>
      <c r="E17" s="36"/>
      <c r="F17" s="37"/>
      <c r="G17" s="38"/>
      <c r="H17" s="38"/>
      <c r="I17" s="38"/>
      <c r="J17" s="38"/>
      <c r="K17" s="38"/>
      <c r="L17" s="38"/>
      <c r="M17" s="38">
        <f t="shared" si="6"/>
        <v>0</v>
      </c>
    </row>
    <row r="18" spans="1:17" x14ac:dyDescent="0.3">
      <c r="A18" s="46" t="s">
        <v>109</v>
      </c>
      <c r="B18" s="39"/>
      <c r="C18" s="41"/>
      <c r="D18" s="42"/>
      <c r="E18" s="43"/>
      <c r="F18" s="39"/>
      <c r="G18" s="44">
        <f t="shared" ref="G18:M18" si="8">SUM(G17:G17)</f>
        <v>0</v>
      </c>
      <c r="H18" s="44">
        <f t="shared" si="8"/>
        <v>0</v>
      </c>
      <c r="I18" s="44">
        <f t="shared" si="8"/>
        <v>0</v>
      </c>
      <c r="J18" s="44">
        <f t="shared" si="8"/>
        <v>0</v>
      </c>
      <c r="K18" s="44">
        <f t="shared" si="8"/>
        <v>0</v>
      </c>
      <c r="L18" s="44">
        <f t="shared" si="8"/>
        <v>0</v>
      </c>
      <c r="M18" s="44">
        <f t="shared" si="8"/>
        <v>0</v>
      </c>
    </row>
    <row r="19" spans="1:17" x14ac:dyDescent="0.3">
      <c r="A19" s="35" t="s">
        <v>73</v>
      </c>
      <c r="B19" s="35" t="s">
        <v>38</v>
      </c>
      <c r="C19" s="36"/>
      <c r="D19" s="35"/>
      <c r="E19" s="36"/>
      <c r="F19" s="37"/>
      <c r="G19" s="38"/>
      <c r="H19" s="38"/>
      <c r="I19" s="38"/>
      <c r="J19" s="38"/>
      <c r="K19" s="38"/>
      <c r="L19" s="38"/>
      <c r="M19" s="38">
        <f t="shared" si="6"/>
        <v>0</v>
      </c>
    </row>
    <row r="20" spans="1:17" x14ac:dyDescent="0.3">
      <c r="A20" s="46" t="s">
        <v>73</v>
      </c>
      <c r="B20" s="39"/>
      <c r="C20" s="41"/>
      <c r="D20" s="42"/>
      <c r="E20" s="43"/>
      <c r="F20" s="39"/>
      <c r="G20" s="44">
        <f t="shared" ref="G20:L20" si="9">SUM(G19:G19)</f>
        <v>0</v>
      </c>
      <c r="H20" s="44">
        <f t="shared" si="9"/>
        <v>0</v>
      </c>
      <c r="I20" s="44">
        <f t="shared" si="9"/>
        <v>0</v>
      </c>
      <c r="J20" s="44">
        <f t="shared" si="9"/>
        <v>0</v>
      </c>
      <c r="K20" s="44">
        <f t="shared" si="9"/>
        <v>0</v>
      </c>
      <c r="L20" s="44">
        <f t="shared" si="9"/>
        <v>0</v>
      </c>
      <c r="M20" s="44">
        <f t="shared" si="6"/>
        <v>0</v>
      </c>
    </row>
    <row r="21" spans="1:17" x14ac:dyDescent="0.3">
      <c r="A21" s="35" t="s">
        <v>61</v>
      </c>
      <c r="B21" s="56" t="s">
        <v>60</v>
      </c>
      <c r="C21" s="35">
        <v>44797</v>
      </c>
      <c r="D21" s="35" t="s">
        <v>46</v>
      </c>
      <c r="E21" s="36">
        <v>44819</v>
      </c>
      <c r="F21" s="37" t="s">
        <v>39</v>
      </c>
      <c r="G21" s="38"/>
      <c r="H21" s="38">
        <v>85.6</v>
      </c>
      <c r="I21" s="38"/>
      <c r="J21" s="38"/>
      <c r="K21" s="38"/>
      <c r="L21" s="38"/>
      <c r="M21" s="38">
        <f t="shared" si="6"/>
        <v>85.6</v>
      </c>
      <c r="Q21" s="2"/>
    </row>
    <row r="22" spans="1:17" x14ac:dyDescent="0.3">
      <c r="A22" s="46" t="s">
        <v>61</v>
      </c>
      <c r="B22" s="39"/>
      <c r="C22" s="41"/>
      <c r="D22" s="42"/>
      <c r="E22" s="43"/>
      <c r="F22" s="39"/>
      <c r="G22" s="44">
        <f t="shared" ref="G22:L22" si="10">SUM(G21:G21)</f>
        <v>0</v>
      </c>
      <c r="H22" s="44">
        <f t="shared" si="10"/>
        <v>85.6</v>
      </c>
      <c r="I22" s="44">
        <f t="shared" si="10"/>
        <v>0</v>
      </c>
      <c r="J22" s="44">
        <f t="shared" si="10"/>
        <v>0</v>
      </c>
      <c r="K22" s="44">
        <f t="shared" si="10"/>
        <v>0</v>
      </c>
      <c r="L22" s="44">
        <f t="shared" si="10"/>
        <v>0</v>
      </c>
      <c r="M22" s="44">
        <f t="shared" si="6"/>
        <v>85.6</v>
      </c>
      <c r="Q22" s="2"/>
    </row>
    <row r="23" spans="1:17" x14ac:dyDescent="0.3">
      <c r="A23" s="56" t="s">
        <v>36</v>
      </c>
      <c r="B23" s="56" t="s">
        <v>37</v>
      </c>
      <c r="C23" s="36">
        <v>44778</v>
      </c>
      <c r="D23" s="35" t="s">
        <v>67</v>
      </c>
      <c r="E23" s="36">
        <v>44809</v>
      </c>
      <c r="F23" s="37" t="s">
        <v>43</v>
      </c>
      <c r="G23" s="38">
        <v>200</v>
      </c>
      <c r="H23" s="38"/>
      <c r="I23" s="38"/>
      <c r="J23" s="38"/>
      <c r="K23" s="38">
        <v>0.96</v>
      </c>
      <c r="L23" s="38"/>
      <c r="M23" s="38">
        <f t="shared" si="6"/>
        <v>200.96</v>
      </c>
    </row>
    <row r="24" spans="1:17" x14ac:dyDescent="0.3">
      <c r="A24" s="56" t="s">
        <v>36</v>
      </c>
      <c r="B24" s="56" t="s">
        <v>37</v>
      </c>
      <c r="C24" s="36">
        <v>44804</v>
      </c>
      <c r="D24" s="35" t="s">
        <v>46</v>
      </c>
      <c r="E24" s="36">
        <v>44819</v>
      </c>
      <c r="F24" s="37" t="s">
        <v>39</v>
      </c>
      <c r="G24" s="38"/>
      <c r="H24" s="38">
        <f>129+236.7</f>
        <v>365.7</v>
      </c>
      <c r="I24" s="38"/>
      <c r="J24" s="38"/>
      <c r="K24" s="38"/>
      <c r="L24" s="38"/>
      <c r="M24" s="38">
        <f t="shared" si="6"/>
        <v>365.7</v>
      </c>
    </row>
    <row r="25" spans="1:17" x14ac:dyDescent="0.3">
      <c r="A25" s="46" t="s">
        <v>36</v>
      </c>
      <c r="B25" s="39"/>
      <c r="C25" s="41"/>
      <c r="D25" s="42"/>
      <c r="E25" s="43"/>
      <c r="F25" s="39"/>
      <c r="G25" s="44">
        <f t="shared" ref="G25:M25" si="11">SUM(G23:G24)</f>
        <v>200</v>
      </c>
      <c r="H25" s="44">
        <f t="shared" si="11"/>
        <v>365.7</v>
      </c>
      <c r="I25" s="44">
        <f t="shared" si="11"/>
        <v>0</v>
      </c>
      <c r="J25" s="44">
        <f t="shared" si="11"/>
        <v>0</v>
      </c>
      <c r="K25" s="44">
        <f t="shared" si="11"/>
        <v>0.96</v>
      </c>
      <c r="L25" s="44">
        <f t="shared" si="11"/>
        <v>0</v>
      </c>
      <c r="M25" s="44">
        <f t="shared" si="11"/>
        <v>566.66</v>
      </c>
    </row>
    <row r="26" spans="1:17" x14ac:dyDescent="0.3">
      <c r="A26" s="56" t="s">
        <v>62</v>
      </c>
      <c r="B26" s="56" t="s">
        <v>63</v>
      </c>
      <c r="C26" s="36">
        <v>44783</v>
      </c>
      <c r="D26" s="35" t="s">
        <v>46</v>
      </c>
      <c r="E26" s="36">
        <v>44819</v>
      </c>
      <c r="F26" s="37" t="s">
        <v>39</v>
      </c>
      <c r="G26" s="38"/>
      <c r="H26" s="38">
        <v>41.7</v>
      </c>
      <c r="I26" s="38"/>
      <c r="J26" s="38"/>
      <c r="K26" s="38"/>
      <c r="L26" s="38"/>
      <c r="M26" s="38">
        <f t="shared" ref="M26" si="12">SUM(G26:L26)</f>
        <v>41.7</v>
      </c>
    </row>
    <row r="27" spans="1:17" x14ac:dyDescent="0.3">
      <c r="A27" s="46" t="s">
        <v>62</v>
      </c>
      <c r="B27" s="39"/>
      <c r="C27" s="41"/>
      <c r="D27" s="42"/>
      <c r="E27" s="43"/>
      <c r="F27" s="39"/>
      <c r="G27" s="44">
        <f t="shared" ref="G27:M27" si="13">SUM(G26:G26)</f>
        <v>0</v>
      </c>
      <c r="H27" s="44">
        <f t="shared" si="13"/>
        <v>41.7</v>
      </c>
      <c r="I27" s="44">
        <f t="shared" si="13"/>
        <v>0</v>
      </c>
      <c r="J27" s="44">
        <f t="shared" si="13"/>
        <v>0</v>
      </c>
      <c r="K27" s="44">
        <f t="shared" si="13"/>
        <v>0</v>
      </c>
      <c r="L27" s="44">
        <f t="shared" si="13"/>
        <v>0</v>
      </c>
      <c r="M27" s="44">
        <f t="shared" si="13"/>
        <v>41.7</v>
      </c>
    </row>
    <row r="28" spans="1:17" x14ac:dyDescent="0.3">
      <c r="A28" s="56" t="s">
        <v>35</v>
      </c>
      <c r="B28" s="56" t="s">
        <v>59</v>
      </c>
      <c r="C28" s="36">
        <v>44755</v>
      </c>
      <c r="D28" s="35" t="s">
        <v>46</v>
      </c>
      <c r="E28" s="36">
        <v>44770</v>
      </c>
      <c r="F28" s="37" t="s">
        <v>39</v>
      </c>
      <c r="G28" s="38"/>
      <c r="H28" s="38">
        <f>26+11.6-6.6</f>
        <v>31</v>
      </c>
      <c r="I28" s="38"/>
      <c r="J28" s="38"/>
      <c r="K28" s="38"/>
      <c r="L28" s="38"/>
      <c r="M28" s="38">
        <f t="shared" ref="M28:M31" si="14">SUM(G28:L28)</f>
        <v>31</v>
      </c>
    </row>
    <row r="29" spans="1:17" x14ac:dyDescent="0.3">
      <c r="A29" s="56" t="s">
        <v>35</v>
      </c>
      <c r="B29" s="56" t="s">
        <v>59</v>
      </c>
      <c r="C29" s="36">
        <v>44810</v>
      </c>
      <c r="D29" s="35" t="s">
        <v>67</v>
      </c>
      <c r="E29" s="36">
        <v>44810</v>
      </c>
      <c r="F29" s="37" t="s">
        <v>43</v>
      </c>
      <c r="G29" s="38"/>
      <c r="H29" s="38">
        <f>10.2+10.2+2.5</f>
        <v>22.9</v>
      </c>
      <c r="I29" s="38"/>
      <c r="J29" s="38"/>
      <c r="K29" s="38"/>
      <c r="L29" s="38"/>
      <c r="M29" s="38">
        <f t="shared" si="14"/>
        <v>22.9</v>
      </c>
    </row>
    <row r="30" spans="1:17" x14ac:dyDescent="0.3">
      <c r="A30" s="56" t="s">
        <v>35</v>
      </c>
      <c r="B30" s="56" t="s">
        <v>59</v>
      </c>
      <c r="C30" s="36">
        <v>44757</v>
      </c>
      <c r="D30" s="35" t="s">
        <v>68</v>
      </c>
      <c r="E30" s="36" t="s">
        <v>64</v>
      </c>
      <c r="F30" s="37" t="s">
        <v>39</v>
      </c>
      <c r="G30" s="38">
        <f>118.57+111.2</f>
        <v>229.76999999999998</v>
      </c>
      <c r="H30" s="38">
        <v>26</v>
      </c>
      <c r="I30" s="38"/>
      <c r="J30" s="38"/>
      <c r="K30" s="38">
        <v>127.5</v>
      </c>
      <c r="L30" s="38"/>
      <c r="M30" s="38">
        <f t="shared" si="14"/>
        <v>383.27</v>
      </c>
    </row>
    <row r="31" spans="1:17" x14ac:dyDescent="0.3">
      <c r="A31" s="56" t="s">
        <v>35</v>
      </c>
      <c r="B31" s="56" t="s">
        <v>59</v>
      </c>
      <c r="C31" s="36">
        <v>44783</v>
      </c>
      <c r="D31" s="35" t="s">
        <v>46</v>
      </c>
      <c r="E31" s="36">
        <v>44819</v>
      </c>
      <c r="F31" s="37" t="s">
        <v>39</v>
      </c>
      <c r="G31" s="38">
        <v>387.66</v>
      </c>
      <c r="H31" s="38"/>
      <c r="I31" s="38"/>
      <c r="J31" s="38"/>
      <c r="K31" s="38">
        <v>143.5</v>
      </c>
      <c r="L31" s="38">
        <v>45.39</v>
      </c>
      <c r="M31" s="38">
        <f t="shared" si="14"/>
        <v>576.55000000000007</v>
      </c>
    </row>
    <row r="32" spans="1:17" x14ac:dyDescent="0.3">
      <c r="A32" s="46"/>
      <c r="B32" s="39"/>
      <c r="C32" s="41"/>
      <c r="D32" s="42"/>
      <c r="E32" s="43"/>
      <c r="F32" s="39"/>
      <c r="G32" s="44">
        <f t="shared" ref="G32:M32" si="15">SUM(G28:G31)</f>
        <v>617.43000000000006</v>
      </c>
      <c r="H32" s="44">
        <f t="shared" si="15"/>
        <v>79.900000000000006</v>
      </c>
      <c r="I32" s="44">
        <f t="shared" si="15"/>
        <v>0</v>
      </c>
      <c r="J32" s="44">
        <f t="shared" si="15"/>
        <v>0</v>
      </c>
      <c r="K32" s="44">
        <f t="shared" si="15"/>
        <v>271</v>
      </c>
      <c r="L32" s="44">
        <f t="shared" si="15"/>
        <v>45.39</v>
      </c>
      <c r="M32" s="44">
        <f t="shared" si="15"/>
        <v>1013.72</v>
      </c>
    </row>
    <row r="33" spans="1:18" x14ac:dyDescent="0.3">
      <c r="A33" s="56" t="s">
        <v>57</v>
      </c>
      <c r="B33" s="56" t="s">
        <v>58</v>
      </c>
      <c r="C33" s="36"/>
      <c r="D33" s="35"/>
      <c r="E33" s="36"/>
      <c r="F33" s="37"/>
      <c r="G33" s="38"/>
      <c r="H33" s="38"/>
      <c r="I33" s="38"/>
      <c r="J33" s="38"/>
      <c r="K33" s="38"/>
      <c r="L33" s="38"/>
      <c r="M33" s="38">
        <f t="shared" si="6"/>
        <v>0</v>
      </c>
    </row>
    <row r="34" spans="1:18" x14ac:dyDescent="0.3">
      <c r="A34" s="46"/>
      <c r="B34" s="39"/>
      <c r="C34" s="41"/>
      <c r="D34" s="42"/>
      <c r="E34" s="43"/>
      <c r="F34" s="39"/>
      <c r="G34" s="44">
        <f>SUM(G33:G33)</f>
        <v>0</v>
      </c>
      <c r="H34" s="44">
        <f>SUM(H33:H33)</f>
        <v>0</v>
      </c>
      <c r="I34" s="44">
        <f t="shared" ref="I34:M34" si="16">SUM(I33:I33)</f>
        <v>0</v>
      </c>
      <c r="J34" s="44">
        <f t="shared" si="16"/>
        <v>0</v>
      </c>
      <c r="K34" s="44">
        <f t="shared" si="16"/>
        <v>0</v>
      </c>
      <c r="L34" s="44">
        <f t="shared" si="16"/>
        <v>0</v>
      </c>
      <c r="M34" s="44">
        <f t="shared" si="16"/>
        <v>0</v>
      </c>
    </row>
    <row r="35" spans="1:18" ht="17.25" thickBot="1" x14ac:dyDescent="0.35">
      <c r="A35" s="3" t="s">
        <v>22</v>
      </c>
      <c r="B35" s="3"/>
      <c r="C35" s="4"/>
      <c r="D35" s="3"/>
      <c r="E35" s="3"/>
      <c r="F35" s="5"/>
      <c r="G35" s="49">
        <f t="shared" ref="G35:M35" si="17">G4+G6+G8+G10+G12+G14+G16+G18+G20+G22+G25+G27+G32+G34</f>
        <v>817.43000000000006</v>
      </c>
      <c r="H35" s="49">
        <f t="shared" si="17"/>
        <v>572.9</v>
      </c>
      <c r="I35" s="49">
        <f t="shared" si="17"/>
        <v>0</v>
      </c>
      <c r="J35" s="49">
        <f t="shared" si="17"/>
        <v>0</v>
      </c>
      <c r="K35" s="49">
        <f t="shared" si="17"/>
        <v>271.95999999999998</v>
      </c>
      <c r="L35" s="49">
        <f t="shared" si="17"/>
        <v>45.39</v>
      </c>
      <c r="M35" s="49">
        <f t="shared" si="17"/>
        <v>1707.68</v>
      </c>
    </row>
    <row r="36" spans="1:18" ht="17.25" thickTop="1" x14ac:dyDescent="0.3">
      <c r="A36" s="7"/>
      <c r="B36" s="7"/>
      <c r="C36" s="8"/>
      <c r="D36" s="7"/>
      <c r="E36" s="7"/>
      <c r="F36" s="7"/>
      <c r="G36" s="9"/>
      <c r="H36" s="9"/>
      <c r="I36" s="9"/>
      <c r="J36" s="9"/>
      <c r="K36" s="9"/>
      <c r="L36" s="9"/>
      <c r="M36" s="9"/>
      <c r="O36" s="10"/>
      <c r="R36" s="11"/>
    </row>
    <row r="37" spans="1:18" x14ac:dyDescent="0.3">
      <c r="E37" s="12"/>
      <c r="F37" s="12"/>
      <c r="N37" s="10"/>
      <c r="O37" s="10"/>
    </row>
    <row r="38" spans="1:18" ht="17.25" thickBot="1" x14ac:dyDescent="0.35">
      <c r="A38" s="7"/>
      <c r="B38" s="7"/>
      <c r="C38" s="8"/>
      <c r="D38" s="7"/>
      <c r="E38" s="7"/>
      <c r="F38" s="7"/>
      <c r="G38" s="9"/>
      <c r="H38" s="9"/>
      <c r="I38" s="9"/>
      <c r="J38" s="9"/>
      <c r="K38" s="9"/>
      <c r="L38" s="9"/>
      <c r="M38" s="9"/>
      <c r="O38" s="10"/>
    </row>
    <row r="39" spans="1:18" ht="17.25" thickBot="1" x14ac:dyDescent="0.35">
      <c r="A39" s="7"/>
      <c r="B39" s="7"/>
      <c r="C39" s="7"/>
      <c r="D39" s="7"/>
      <c r="E39" s="7"/>
      <c r="F39" s="13" t="s">
        <v>13</v>
      </c>
      <c r="G39" s="14"/>
      <c r="H39" s="14"/>
      <c r="I39" s="14"/>
      <c r="J39" s="14"/>
      <c r="K39" s="14"/>
      <c r="L39" s="14"/>
      <c r="M39" s="15"/>
    </row>
    <row r="40" spans="1:18" ht="52.5" x14ac:dyDescent="0.3">
      <c r="A40" s="7"/>
      <c r="B40" s="7"/>
      <c r="C40" s="7"/>
      <c r="D40" s="7"/>
      <c r="E40" s="7"/>
      <c r="F40" s="16"/>
      <c r="G40" s="17" t="s">
        <v>6</v>
      </c>
      <c r="H40" s="18" t="s">
        <v>14</v>
      </c>
      <c r="I40" s="18" t="s">
        <v>15</v>
      </c>
      <c r="J40" s="18" t="s">
        <v>16</v>
      </c>
      <c r="K40" s="18" t="s">
        <v>10</v>
      </c>
      <c r="L40" s="18" t="s">
        <v>11</v>
      </c>
      <c r="M40" s="19" t="s">
        <v>17</v>
      </c>
    </row>
    <row r="41" spans="1:18" x14ac:dyDescent="0.3">
      <c r="A41" s="7"/>
      <c r="B41" s="7"/>
      <c r="C41" s="7"/>
      <c r="D41" s="7"/>
      <c r="E41" s="7"/>
      <c r="F41" s="20" t="s">
        <v>18</v>
      </c>
      <c r="G41" s="21">
        <f>G35-G42</f>
        <v>0</v>
      </c>
      <c r="H41" s="21">
        <f t="shared" ref="H41:L41" si="18">H35-H42</f>
        <v>85.600000000000023</v>
      </c>
      <c r="I41" s="21">
        <f t="shared" si="18"/>
        <v>0</v>
      </c>
      <c r="J41" s="21">
        <f t="shared" si="18"/>
        <v>0</v>
      </c>
      <c r="K41" s="21">
        <f t="shared" si="18"/>
        <v>0</v>
      </c>
      <c r="L41" s="21">
        <f t="shared" si="18"/>
        <v>0</v>
      </c>
      <c r="M41" s="21">
        <f>M35-M42</f>
        <v>85.600000000000136</v>
      </c>
    </row>
    <row r="42" spans="1:18" x14ac:dyDescent="0.3">
      <c r="A42" s="7"/>
      <c r="B42" s="7"/>
      <c r="C42" s="7"/>
      <c r="D42" s="7"/>
      <c r="E42" s="7"/>
      <c r="F42" s="20" t="s">
        <v>26</v>
      </c>
      <c r="G42" s="21">
        <f t="shared" ref="G42:M42" si="19">G25+G34+G27+G32</f>
        <v>817.43000000000006</v>
      </c>
      <c r="H42" s="21">
        <f t="shared" si="19"/>
        <v>487.29999999999995</v>
      </c>
      <c r="I42" s="21">
        <f t="shared" si="19"/>
        <v>0</v>
      </c>
      <c r="J42" s="21">
        <f t="shared" si="19"/>
        <v>0</v>
      </c>
      <c r="K42" s="21">
        <f t="shared" si="19"/>
        <v>271.95999999999998</v>
      </c>
      <c r="L42" s="21">
        <f t="shared" si="19"/>
        <v>45.39</v>
      </c>
      <c r="M42" s="21">
        <f t="shared" si="19"/>
        <v>1622.08</v>
      </c>
    </row>
    <row r="43" spans="1:18" x14ac:dyDescent="0.3">
      <c r="A43" s="7"/>
      <c r="B43" s="7"/>
      <c r="C43" s="7"/>
      <c r="D43" s="7"/>
      <c r="E43" s="7"/>
      <c r="F43" s="22" t="s">
        <v>20</v>
      </c>
      <c r="G43" s="23">
        <f t="shared" ref="G43:L43" si="20">SUM(G41:G42)</f>
        <v>817.43000000000006</v>
      </c>
      <c r="H43" s="23">
        <f t="shared" si="20"/>
        <v>572.9</v>
      </c>
      <c r="I43" s="23">
        <f t="shared" si="20"/>
        <v>0</v>
      </c>
      <c r="J43" s="23">
        <f t="shared" si="20"/>
        <v>0</v>
      </c>
      <c r="K43" s="23">
        <f t="shared" si="20"/>
        <v>271.95999999999998</v>
      </c>
      <c r="L43" s="23">
        <f t="shared" si="20"/>
        <v>45.39</v>
      </c>
      <c r="M43" s="24">
        <f>SUM(G43:L43)</f>
        <v>1707.68</v>
      </c>
      <c r="N43" s="25"/>
    </row>
    <row r="44" spans="1:18" x14ac:dyDescent="0.3">
      <c r="A44" s="7"/>
      <c r="B44" s="7"/>
      <c r="C44" s="7"/>
      <c r="D44" s="7"/>
      <c r="E44" s="7"/>
      <c r="F44" s="7"/>
      <c r="G44" s="9"/>
      <c r="H44" s="9"/>
      <c r="I44" s="9"/>
      <c r="J44" s="9"/>
      <c r="K44" s="9"/>
      <c r="L44" s="9"/>
      <c r="M44" s="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8"/>
  <sheetViews>
    <sheetView zoomScale="85" zoomScaleNormal="85" workbookViewId="0">
      <pane xSplit="1" ySplit="2" topLeftCell="B60" activePane="bottomRight" state="frozen"/>
      <selection sqref="A1:XFD1048576"/>
      <selection pane="topRight" sqref="A1:XFD1048576"/>
      <selection pane="bottomLeft" sqref="A1:XFD1048576"/>
      <selection pane="bottomRight" activeCell="H47" sqref="H47"/>
    </sheetView>
  </sheetViews>
  <sheetFormatPr defaultColWidth="9.140625" defaultRowHeight="16.5" x14ac:dyDescent="0.3"/>
  <cols>
    <col min="1" max="1" width="13.42578125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3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8.2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87" t="s">
        <v>6</v>
      </c>
      <c r="H2" s="87" t="s">
        <v>8</v>
      </c>
      <c r="I2" s="91" t="s">
        <v>75</v>
      </c>
      <c r="J2" s="87" t="s">
        <v>28</v>
      </c>
      <c r="K2" s="87" t="s">
        <v>74</v>
      </c>
      <c r="L2" s="87" t="s">
        <v>11</v>
      </c>
      <c r="M2" s="87" t="s">
        <v>12</v>
      </c>
    </row>
    <row r="3" spans="1:13" x14ac:dyDescent="0.3">
      <c r="A3" s="56" t="s">
        <v>53</v>
      </c>
      <c r="B3" s="56" t="s">
        <v>38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56" t="s">
        <v>53</v>
      </c>
      <c r="B4" s="56" t="s">
        <v>38</v>
      </c>
      <c r="C4" s="36"/>
      <c r="D4" s="35"/>
      <c r="E4" s="36"/>
      <c r="F4" s="37"/>
      <c r="G4" s="38"/>
      <c r="H4" s="38"/>
      <c r="I4" s="38"/>
      <c r="J4" s="38"/>
      <c r="K4" s="38"/>
      <c r="L4" s="38"/>
      <c r="M4" s="38"/>
    </row>
    <row r="5" spans="1:13" x14ac:dyDescent="0.3">
      <c r="A5" s="56" t="s">
        <v>53</v>
      </c>
      <c r="B5" s="56" t="s">
        <v>38</v>
      </c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>SUM(G5:L5)</f>
        <v>0</v>
      </c>
    </row>
    <row r="6" spans="1:13" x14ac:dyDescent="0.3">
      <c r="A6" s="48" t="s">
        <v>53</v>
      </c>
      <c r="B6" s="39"/>
      <c r="C6" s="41"/>
      <c r="D6" s="42"/>
      <c r="E6" s="43"/>
      <c r="F6" s="39"/>
      <c r="G6" s="44">
        <f t="shared" ref="G6:M6" si="0">SUM(G5:G5)</f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4">
        <f t="shared" si="0"/>
        <v>0</v>
      </c>
      <c r="M6" s="44">
        <f t="shared" si="0"/>
        <v>0</v>
      </c>
    </row>
    <row r="7" spans="1:13" x14ac:dyDescent="0.3">
      <c r="A7" s="45"/>
      <c r="B7" s="35"/>
      <c r="C7" s="36"/>
      <c r="D7" s="35"/>
      <c r="E7" s="36"/>
      <c r="F7" s="37"/>
      <c r="G7" s="38"/>
      <c r="H7" s="38"/>
      <c r="I7" s="38"/>
      <c r="J7" s="38"/>
      <c r="K7" s="38"/>
      <c r="L7" s="38"/>
      <c r="M7" s="38">
        <f>SUM(G7:L7)</f>
        <v>0</v>
      </c>
    </row>
    <row r="8" spans="1:13" x14ac:dyDescent="0.3">
      <c r="A8" s="48"/>
      <c r="B8" s="39"/>
      <c r="C8" s="41"/>
      <c r="D8" s="42"/>
      <c r="E8" s="43"/>
      <c r="F8" s="39"/>
      <c r="G8" s="44">
        <f t="shared" ref="G8:M8" si="1">SUM(G7:G7)</f>
        <v>0</v>
      </c>
      <c r="H8" s="44">
        <f t="shared" si="1"/>
        <v>0</v>
      </c>
      <c r="I8" s="44">
        <f t="shared" si="1"/>
        <v>0</v>
      </c>
      <c r="J8" s="44">
        <f t="shared" si="1"/>
        <v>0</v>
      </c>
      <c r="K8" s="44">
        <f t="shared" si="1"/>
        <v>0</v>
      </c>
      <c r="L8" s="44">
        <f t="shared" si="1"/>
        <v>0</v>
      </c>
      <c r="M8" s="44">
        <f t="shared" si="1"/>
        <v>0</v>
      </c>
    </row>
    <row r="9" spans="1:13" x14ac:dyDescent="0.3">
      <c r="A9" s="35" t="s">
        <v>70</v>
      </c>
      <c r="B9" s="56" t="s">
        <v>38</v>
      </c>
      <c r="C9" s="36"/>
      <c r="D9" s="35"/>
      <c r="E9" s="36"/>
      <c r="F9" s="37"/>
      <c r="G9" s="38"/>
      <c r="H9" s="38"/>
      <c r="I9" s="38"/>
      <c r="J9" s="38"/>
      <c r="K9" s="38"/>
      <c r="L9" s="38"/>
      <c r="M9" s="38">
        <f>SUM(G9:L9)</f>
        <v>0</v>
      </c>
    </row>
    <row r="10" spans="1:13" x14ac:dyDescent="0.3">
      <c r="A10" s="35" t="s">
        <v>70</v>
      </c>
      <c r="B10" s="56" t="s">
        <v>38</v>
      </c>
      <c r="C10" s="36"/>
      <c r="D10" s="35"/>
      <c r="E10" s="36"/>
      <c r="F10" s="37"/>
      <c r="G10" s="38"/>
      <c r="H10" s="38"/>
      <c r="I10" s="38"/>
      <c r="J10" s="38"/>
      <c r="K10" s="38"/>
      <c r="L10" s="38"/>
      <c r="M10" s="38">
        <f>SUM(G10:L10)</f>
        <v>0</v>
      </c>
    </row>
    <row r="11" spans="1:13" x14ac:dyDescent="0.3">
      <c r="A11" s="35" t="s">
        <v>70</v>
      </c>
      <c r="B11" s="56" t="s">
        <v>38</v>
      </c>
      <c r="C11" s="36"/>
      <c r="D11" s="35"/>
      <c r="E11" s="36"/>
      <c r="F11" s="37"/>
      <c r="G11" s="38"/>
      <c r="H11" s="38"/>
      <c r="I11" s="38"/>
      <c r="J11" s="38"/>
      <c r="K11" s="38"/>
      <c r="L11" s="38"/>
      <c r="M11" s="38">
        <f>SUM(G11:L11)</f>
        <v>0</v>
      </c>
    </row>
    <row r="12" spans="1:13" x14ac:dyDescent="0.3">
      <c r="A12" s="48" t="s">
        <v>69</v>
      </c>
      <c r="B12" s="39"/>
      <c r="C12" s="41"/>
      <c r="D12" s="42"/>
      <c r="E12" s="43"/>
      <c r="F12" s="39"/>
      <c r="G12" s="44">
        <f t="shared" ref="G12:M12" si="2">SUM(G9:G11)</f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44">
        <f t="shared" si="2"/>
        <v>0</v>
      </c>
      <c r="M12" s="44">
        <f t="shared" si="2"/>
        <v>0</v>
      </c>
    </row>
    <row r="13" spans="1:13" x14ac:dyDescent="0.3">
      <c r="A13" s="35" t="s">
        <v>71</v>
      </c>
      <c r="B13" s="56" t="s">
        <v>38</v>
      </c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>
        <f t="shared" ref="M13:M14" si="3">SUM(G13:L13)</f>
        <v>0</v>
      </c>
    </row>
    <row r="14" spans="1:13" x14ac:dyDescent="0.3">
      <c r="A14" s="35" t="s">
        <v>71</v>
      </c>
      <c r="B14" s="56" t="s">
        <v>38</v>
      </c>
      <c r="C14" s="36"/>
      <c r="D14" s="35"/>
      <c r="E14" s="36"/>
      <c r="F14" s="37"/>
      <c r="G14" s="38"/>
      <c r="H14" s="38"/>
      <c r="I14" s="38"/>
      <c r="J14" s="38"/>
      <c r="K14" s="38"/>
      <c r="L14" s="38"/>
      <c r="M14" s="38">
        <f t="shared" si="3"/>
        <v>0</v>
      </c>
    </row>
    <row r="15" spans="1:13" x14ac:dyDescent="0.3">
      <c r="A15" s="35" t="s">
        <v>71</v>
      </c>
      <c r="B15" s="56" t="s">
        <v>38</v>
      </c>
      <c r="C15" s="36"/>
      <c r="D15" s="35"/>
      <c r="E15" s="36"/>
      <c r="F15" s="37"/>
      <c r="G15" s="38"/>
      <c r="H15" s="38"/>
      <c r="I15" s="38"/>
      <c r="J15" s="38"/>
      <c r="K15" s="38"/>
      <c r="L15" s="38"/>
      <c r="M15" s="38">
        <f>SUM(G15:L15)</f>
        <v>0</v>
      </c>
    </row>
    <row r="16" spans="1:13" x14ac:dyDescent="0.3">
      <c r="A16" s="48" t="s">
        <v>71</v>
      </c>
      <c r="B16" s="39"/>
      <c r="C16" s="41"/>
      <c r="D16" s="42"/>
      <c r="E16" s="43"/>
      <c r="F16" s="39"/>
      <c r="G16" s="44">
        <f t="shared" ref="G16:M16" si="4">SUM(G15:G15)</f>
        <v>0</v>
      </c>
      <c r="H16" s="44">
        <f t="shared" si="4"/>
        <v>0</v>
      </c>
      <c r="I16" s="44">
        <f t="shared" si="4"/>
        <v>0</v>
      </c>
      <c r="J16" s="44">
        <f t="shared" si="4"/>
        <v>0</v>
      </c>
      <c r="K16" s="44">
        <f t="shared" si="4"/>
        <v>0</v>
      </c>
      <c r="L16" s="44">
        <f t="shared" si="4"/>
        <v>0</v>
      </c>
      <c r="M16" s="44">
        <f t="shared" si="4"/>
        <v>0</v>
      </c>
    </row>
    <row r="17" spans="1:13" x14ac:dyDescent="0.3">
      <c r="A17" s="35" t="s">
        <v>52</v>
      </c>
      <c r="B17" s="56" t="s">
        <v>38</v>
      </c>
      <c r="C17" s="36">
        <v>44869</v>
      </c>
      <c r="D17" s="35" t="s">
        <v>51</v>
      </c>
      <c r="E17" s="36">
        <v>44868</v>
      </c>
      <c r="F17" s="37" t="s">
        <v>39</v>
      </c>
      <c r="G17" s="38"/>
      <c r="H17" s="38">
        <f>64.5+12.8+50.1+12.9</f>
        <v>140.30000000000001</v>
      </c>
      <c r="I17" s="38">
        <f>6.3+8.5</f>
        <v>14.8</v>
      </c>
      <c r="J17" s="38"/>
      <c r="K17" s="38"/>
      <c r="L17" s="38"/>
      <c r="M17" s="38">
        <f>SUM(G17:L17)</f>
        <v>155.10000000000002</v>
      </c>
    </row>
    <row r="18" spans="1:13" x14ac:dyDescent="0.3">
      <c r="A18" s="35" t="s">
        <v>52</v>
      </c>
      <c r="B18" s="56" t="s">
        <v>38</v>
      </c>
      <c r="C18" s="36">
        <v>44869</v>
      </c>
      <c r="D18" s="35" t="s">
        <v>51</v>
      </c>
      <c r="E18" s="36">
        <v>44686</v>
      </c>
      <c r="F18" s="37" t="s">
        <v>39</v>
      </c>
      <c r="G18" s="38"/>
      <c r="H18" s="38">
        <f>7.3+10.85-0.15</f>
        <v>18</v>
      </c>
      <c r="I18" s="38">
        <f>32.5</f>
        <v>32.5</v>
      </c>
      <c r="J18" s="38"/>
      <c r="K18" s="38">
        <f>17.89+0.78+6.35</f>
        <v>25.020000000000003</v>
      </c>
      <c r="L18" s="38"/>
      <c r="M18" s="38">
        <f t="shared" ref="M18:M21" si="5">SUM(G18:L18)</f>
        <v>75.52000000000001</v>
      </c>
    </row>
    <row r="19" spans="1:13" x14ac:dyDescent="0.3">
      <c r="A19" s="35" t="s">
        <v>52</v>
      </c>
      <c r="B19" s="56" t="s">
        <v>38</v>
      </c>
      <c r="C19" s="36">
        <v>44869</v>
      </c>
      <c r="D19" s="35" t="s">
        <v>78</v>
      </c>
      <c r="E19" s="36">
        <v>44840</v>
      </c>
      <c r="F19" s="37" t="s">
        <v>39</v>
      </c>
      <c r="G19" s="38"/>
      <c r="H19" s="38">
        <f>7.3+3.15+3.15+1</f>
        <v>14.6</v>
      </c>
      <c r="I19" s="38">
        <f>18+32.5</f>
        <v>50.5</v>
      </c>
      <c r="J19" s="38"/>
      <c r="K19" s="38">
        <v>25.02</v>
      </c>
      <c r="L19" s="38"/>
      <c r="M19" s="38">
        <f t="shared" si="5"/>
        <v>90.11999999999999</v>
      </c>
    </row>
    <row r="20" spans="1:13" x14ac:dyDescent="0.3">
      <c r="A20" s="35" t="s">
        <v>52</v>
      </c>
      <c r="B20" s="56" t="s">
        <v>38</v>
      </c>
      <c r="C20" s="36"/>
      <c r="D20" s="35"/>
      <c r="E20" s="36"/>
      <c r="F20" s="37"/>
      <c r="G20" s="38"/>
      <c r="H20" s="38"/>
      <c r="I20" s="38"/>
      <c r="J20" s="38"/>
      <c r="K20" s="38"/>
      <c r="L20" s="38"/>
      <c r="M20" s="38">
        <f t="shared" si="5"/>
        <v>0</v>
      </c>
    </row>
    <row r="21" spans="1:13" x14ac:dyDescent="0.3">
      <c r="A21" s="35" t="s">
        <v>52</v>
      </c>
      <c r="B21" s="56" t="s">
        <v>38</v>
      </c>
      <c r="C21" s="36"/>
      <c r="D21" s="35"/>
      <c r="E21" s="36"/>
      <c r="F21" s="37"/>
      <c r="G21" s="38"/>
      <c r="H21" s="38"/>
      <c r="I21" s="38"/>
      <c r="J21" s="38"/>
      <c r="K21" s="38"/>
      <c r="L21" s="38"/>
      <c r="M21" s="38">
        <f t="shared" si="5"/>
        <v>0</v>
      </c>
    </row>
    <row r="22" spans="1:13" x14ac:dyDescent="0.3">
      <c r="A22" s="48" t="s">
        <v>52</v>
      </c>
      <c r="B22" s="39"/>
      <c r="C22" s="41"/>
      <c r="D22" s="42"/>
      <c r="E22" s="43"/>
      <c r="F22" s="39"/>
      <c r="G22" s="44">
        <f t="shared" ref="G22:M22" si="6">SUM(G17:G21)</f>
        <v>0</v>
      </c>
      <c r="H22" s="44">
        <f>SUM(H17:H21)</f>
        <v>172.9</v>
      </c>
      <c r="I22" s="44">
        <f t="shared" si="6"/>
        <v>97.8</v>
      </c>
      <c r="J22" s="44">
        <f t="shared" si="6"/>
        <v>0</v>
      </c>
      <c r="K22" s="44">
        <f t="shared" si="6"/>
        <v>50.040000000000006</v>
      </c>
      <c r="L22" s="44">
        <f t="shared" si="6"/>
        <v>0</v>
      </c>
      <c r="M22" s="44">
        <f t="shared" si="6"/>
        <v>320.74</v>
      </c>
    </row>
    <row r="23" spans="1:13" x14ac:dyDescent="0.3">
      <c r="A23" s="35" t="s">
        <v>50</v>
      </c>
      <c r="B23" s="56" t="s">
        <v>38</v>
      </c>
      <c r="C23" s="36">
        <v>44874</v>
      </c>
      <c r="D23" s="35" t="s">
        <v>51</v>
      </c>
      <c r="E23" s="36">
        <v>44868</v>
      </c>
      <c r="F23" s="37" t="s">
        <v>39</v>
      </c>
      <c r="G23" s="38"/>
      <c r="H23" s="38"/>
      <c r="I23" s="38">
        <v>43.7</v>
      </c>
      <c r="J23" s="38"/>
      <c r="K23" s="38"/>
      <c r="L23" s="38"/>
      <c r="M23" s="38">
        <f>SUM(G23:L23)</f>
        <v>43.7</v>
      </c>
    </row>
    <row r="24" spans="1:13" x14ac:dyDescent="0.3">
      <c r="A24" s="35" t="s">
        <v>50</v>
      </c>
      <c r="B24" s="56" t="s">
        <v>38</v>
      </c>
      <c r="C24" s="36"/>
      <c r="D24" s="35"/>
      <c r="E24" s="36"/>
      <c r="F24" s="37"/>
      <c r="G24" s="38"/>
      <c r="H24" s="38"/>
      <c r="I24" s="38"/>
      <c r="J24" s="38"/>
      <c r="K24" s="38"/>
      <c r="L24" s="38"/>
      <c r="M24" s="38">
        <f>SUM(G24:L24)</f>
        <v>0</v>
      </c>
    </row>
    <row r="25" spans="1:13" x14ac:dyDescent="0.3">
      <c r="A25" s="35" t="s">
        <v>50</v>
      </c>
      <c r="B25" s="56" t="s">
        <v>38</v>
      </c>
      <c r="C25" s="36"/>
      <c r="D25" s="50"/>
      <c r="E25" s="36"/>
      <c r="F25" s="37"/>
      <c r="G25" s="38"/>
      <c r="H25" s="38"/>
      <c r="I25" s="38"/>
      <c r="J25" s="38"/>
      <c r="K25" s="38"/>
      <c r="L25" s="38"/>
      <c r="M25" s="38">
        <f t="shared" ref="M25" si="7">SUM(G25:L25)</f>
        <v>0</v>
      </c>
    </row>
    <row r="26" spans="1:13" x14ac:dyDescent="0.3">
      <c r="A26" s="48" t="s">
        <v>52</v>
      </c>
      <c r="B26" s="39"/>
      <c r="C26" s="41"/>
      <c r="D26" s="42"/>
      <c r="E26" s="43"/>
      <c r="F26" s="39"/>
      <c r="G26" s="44">
        <f>SUM(G23:G25)</f>
        <v>0</v>
      </c>
      <c r="H26" s="44">
        <f t="shared" ref="H26:M26" si="8">SUM(H23:H25)</f>
        <v>0</v>
      </c>
      <c r="I26" s="44">
        <f t="shared" si="8"/>
        <v>43.7</v>
      </c>
      <c r="J26" s="44">
        <f t="shared" si="8"/>
        <v>0</v>
      </c>
      <c r="K26" s="44">
        <f t="shared" si="8"/>
        <v>0</v>
      </c>
      <c r="L26" s="44">
        <f t="shared" si="8"/>
        <v>0</v>
      </c>
      <c r="M26" s="44">
        <f t="shared" si="8"/>
        <v>43.7</v>
      </c>
    </row>
    <row r="27" spans="1:13" x14ac:dyDescent="0.3">
      <c r="A27" s="35" t="s">
        <v>72</v>
      </c>
      <c r="B27" s="35" t="s">
        <v>38</v>
      </c>
      <c r="C27" s="36">
        <v>44868</v>
      </c>
      <c r="D27" s="35" t="s">
        <v>51</v>
      </c>
      <c r="E27" s="36">
        <v>44868</v>
      </c>
      <c r="F27" s="37" t="s">
        <v>39</v>
      </c>
      <c r="G27" s="38"/>
      <c r="H27" s="38">
        <f>221.8+5.8</f>
        <v>227.60000000000002</v>
      </c>
      <c r="I27" s="38">
        <f>8.1+5.1</f>
        <v>13.2</v>
      </c>
      <c r="J27" s="38"/>
      <c r="K27" s="38">
        <f>15.19</f>
        <v>15.19</v>
      </c>
      <c r="L27" s="38"/>
      <c r="M27" s="38">
        <f>SUM(G27:L27)</f>
        <v>255.99</v>
      </c>
    </row>
    <row r="28" spans="1:13" x14ac:dyDescent="0.3">
      <c r="A28" s="35" t="s">
        <v>72</v>
      </c>
      <c r="B28" s="35" t="s">
        <v>38</v>
      </c>
      <c r="C28" s="36"/>
      <c r="D28" s="35"/>
      <c r="E28" s="36"/>
      <c r="F28" s="37"/>
      <c r="G28" s="38"/>
      <c r="H28" s="38"/>
      <c r="I28" s="38"/>
      <c r="J28" s="38"/>
      <c r="K28" s="38"/>
      <c r="L28" s="38"/>
      <c r="M28" s="38"/>
    </row>
    <row r="29" spans="1:13" x14ac:dyDescent="0.3">
      <c r="A29" s="35" t="s">
        <v>72</v>
      </c>
      <c r="B29" s="35" t="s">
        <v>38</v>
      </c>
      <c r="C29" s="36"/>
      <c r="D29" s="35"/>
      <c r="E29" s="36"/>
      <c r="F29" s="37"/>
      <c r="G29" s="38"/>
      <c r="H29" s="38"/>
      <c r="I29" s="38"/>
      <c r="J29" s="38"/>
      <c r="K29" s="38"/>
      <c r="L29" s="38"/>
      <c r="M29" s="38"/>
    </row>
    <row r="30" spans="1:13" x14ac:dyDescent="0.3">
      <c r="A30" s="48" t="s">
        <v>50</v>
      </c>
      <c r="B30" s="39"/>
      <c r="C30" s="41"/>
      <c r="D30" s="42"/>
      <c r="E30" s="43"/>
      <c r="F30" s="39"/>
      <c r="G30" s="44">
        <f>SUM(G27:G29)</f>
        <v>0</v>
      </c>
      <c r="H30" s="44">
        <f t="shared" ref="H30:M30" si="9">SUM(H27:H29)</f>
        <v>227.60000000000002</v>
      </c>
      <c r="I30" s="44">
        <f t="shared" si="9"/>
        <v>13.2</v>
      </c>
      <c r="J30" s="44">
        <f t="shared" si="9"/>
        <v>0</v>
      </c>
      <c r="K30" s="44">
        <f t="shared" si="9"/>
        <v>15.19</v>
      </c>
      <c r="L30" s="44">
        <f t="shared" si="9"/>
        <v>0</v>
      </c>
      <c r="M30" s="44">
        <f t="shared" si="9"/>
        <v>255.99</v>
      </c>
    </row>
    <row r="31" spans="1:13" x14ac:dyDescent="0.3">
      <c r="A31" s="35" t="s">
        <v>41</v>
      </c>
      <c r="B31" s="35" t="s">
        <v>38</v>
      </c>
      <c r="C31" s="36">
        <v>44869</v>
      </c>
      <c r="D31" s="50" t="s">
        <v>51</v>
      </c>
      <c r="E31" s="36">
        <v>44868</v>
      </c>
      <c r="F31" s="37" t="s">
        <v>39</v>
      </c>
      <c r="G31" s="38"/>
      <c r="H31" s="38">
        <v>61.3</v>
      </c>
      <c r="I31" s="38">
        <v>6.7</v>
      </c>
      <c r="J31" s="38"/>
      <c r="K31" s="38"/>
      <c r="L31" s="38"/>
      <c r="M31" s="38">
        <f>SUM(G31:L31)</f>
        <v>68</v>
      </c>
    </row>
    <row r="32" spans="1:13" x14ac:dyDescent="0.3">
      <c r="A32" s="35" t="s">
        <v>41</v>
      </c>
      <c r="B32" s="35" t="s">
        <v>38</v>
      </c>
      <c r="C32" s="36"/>
      <c r="D32" s="35"/>
      <c r="E32" s="36"/>
      <c r="F32" s="37"/>
      <c r="G32" s="38"/>
      <c r="H32" s="38"/>
      <c r="I32" s="38"/>
      <c r="J32" s="38"/>
      <c r="K32" s="38"/>
      <c r="L32" s="38"/>
      <c r="M32" s="38">
        <f>SUM(G32:L32)</f>
        <v>0</v>
      </c>
    </row>
    <row r="33" spans="1:13" x14ac:dyDescent="0.3">
      <c r="A33" s="35" t="s">
        <v>41</v>
      </c>
      <c r="B33" s="35" t="s">
        <v>38</v>
      </c>
      <c r="C33" s="36"/>
      <c r="D33" s="35"/>
      <c r="E33" s="36"/>
      <c r="F33" s="37"/>
      <c r="G33" s="38"/>
      <c r="H33" s="38"/>
      <c r="I33" s="38"/>
      <c r="J33" s="38"/>
      <c r="K33" s="38"/>
      <c r="L33" s="38"/>
      <c r="M33" s="38">
        <f>SUM(G33:L33)</f>
        <v>0</v>
      </c>
    </row>
    <row r="34" spans="1:13" x14ac:dyDescent="0.3">
      <c r="A34" s="48" t="s">
        <v>41</v>
      </c>
      <c r="B34" s="39"/>
      <c r="C34" s="41"/>
      <c r="D34" s="42"/>
      <c r="E34" s="43"/>
      <c r="F34" s="39"/>
      <c r="G34" s="44">
        <f>SUM(G31:G33)</f>
        <v>0</v>
      </c>
      <c r="H34" s="44">
        <f t="shared" ref="H34:M34" si="10">SUM(H31:H33)</f>
        <v>61.3</v>
      </c>
      <c r="I34" s="44">
        <f t="shared" si="10"/>
        <v>6.7</v>
      </c>
      <c r="J34" s="44">
        <f t="shared" si="10"/>
        <v>0</v>
      </c>
      <c r="K34" s="44">
        <f t="shared" si="10"/>
        <v>0</v>
      </c>
      <c r="L34" s="44">
        <f t="shared" si="10"/>
        <v>0</v>
      </c>
      <c r="M34" s="44">
        <f t="shared" si="10"/>
        <v>68</v>
      </c>
    </row>
    <row r="35" spans="1:13" x14ac:dyDescent="0.3">
      <c r="A35" s="35" t="s">
        <v>73</v>
      </c>
      <c r="B35" s="35" t="s">
        <v>38</v>
      </c>
      <c r="C35" s="36">
        <v>44874</v>
      </c>
      <c r="D35" s="50" t="s">
        <v>51</v>
      </c>
      <c r="E35" s="36">
        <v>44868</v>
      </c>
      <c r="F35" s="37" t="s">
        <v>39</v>
      </c>
      <c r="G35" s="38"/>
      <c r="H35" s="38">
        <f>70.4+5.8</f>
        <v>76.2</v>
      </c>
      <c r="I35" s="38"/>
      <c r="J35" s="38"/>
      <c r="K35" s="38"/>
      <c r="L35" s="38"/>
      <c r="M35" s="38">
        <f>SUM(G35:L35)</f>
        <v>76.2</v>
      </c>
    </row>
    <row r="36" spans="1:13" x14ac:dyDescent="0.3">
      <c r="A36" s="35" t="s">
        <v>73</v>
      </c>
      <c r="B36" s="35" t="s">
        <v>38</v>
      </c>
      <c r="C36" s="36"/>
      <c r="D36" s="50"/>
      <c r="E36" s="36"/>
      <c r="F36" s="37"/>
      <c r="G36" s="38"/>
      <c r="H36" s="38"/>
      <c r="I36" s="38"/>
      <c r="J36" s="38"/>
      <c r="K36" s="38"/>
      <c r="L36" s="38"/>
      <c r="M36" s="38"/>
    </row>
    <row r="37" spans="1:13" x14ac:dyDescent="0.3">
      <c r="A37" s="35" t="s">
        <v>73</v>
      </c>
      <c r="B37" s="35" t="s">
        <v>38</v>
      </c>
      <c r="C37" s="36"/>
      <c r="D37" s="50"/>
      <c r="E37" s="36"/>
      <c r="F37" s="37"/>
      <c r="G37" s="38"/>
      <c r="H37" s="38"/>
      <c r="I37" s="38"/>
      <c r="J37" s="38"/>
      <c r="K37" s="38"/>
      <c r="L37" s="38"/>
      <c r="M37" s="38">
        <f>SUM(G37:L37)</f>
        <v>0</v>
      </c>
    </row>
    <row r="38" spans="1:13" x14ac:dyDescent="0.3">
      <c r="A38" s="48" t="s">
        <v>73</v>
      </c>
      <c r="B38" s="39"/>
      <c r="C38" s="41"/>
      <c r="D38" s="42"/>
      <c r="E38" s="43"/>
      <c r="F38" s="39"/>
      <c r="G38" s="44">
        <f>SUM(G35:G37)</f>
        <v>0</v>
      </c>
      <c r="H38" s="44">
        <f t="shared" ref="H38:M38" si="11">SUM(H35:H37)</f>
        <v>76.2</v>
      </c>
      <c r="I38" s="44">
        <f t="shared" si="11"/>
        <v>0</v>
      </c>
      <c r="J38" s="44">
        <f t="shared" si="11"/>
        <v>0</v>
      </c>
      <c r="K38" s="44">
        <f t="shared" si="11"/>
        <v>0</v>
      </c>
      <c r="L38" s="44">
        <f t="shared" si="11"/>
        <v>0</v>
      </c>
      <c r="M38" s="44">
        <f t="shared" si="11"/>
        <v>76.2</v>
      </c>
    </row>
    <row r="39" spans="1:13" x14ac:dyDescent="0.3">
      <c r="A39" s="35" t="s">
        <v>56</v>
      </c>
      <c r="B39" s="35" t="s">
        <v>77</v>
      </c>
      <c r="C39" s="36">
        <v>44866</v>
      </c>
      <c r="D39" s="35" t="s">
        <v>91</v>
      </c>
      <c r="E39" s="36">
        <v>44886</v>
      </c>
      <c r="F39" s="37" t="s">
        <v>43</v>
      </c>
      <c r="G39" s="38">
        <v>252.66</v>
      </c>
      <c r="H39" s="38">
        <v>41.8</v>
      </c>
      <c r="I39" s="38"/>
      <c r="J39" s="38"/>
      <c r="K39" s="38">
        <v>76.95</v>
      </c>
      <c r="L39" s="38"/>
      <c r="M39" s="38">
        <f>SUM(G39:L39)</f>
        <v>371.40999999999997</v>
      </c>
    </row>
    <row r="40" spans="1:13" x14ac:dyDescent="0.3">
      <c r="A40" s="35" t="s">
        <v>56</v>
      </c>
      <c r="B40" s="35" t="s">
        <v>77</v>
      </c>
      <c r="C40" s="36">
        <v>44866</v>
      </c>
      <c r="D40" s="35" t="s">
        <v>51</v>
      </c>
      <c r="E40" s="36">
        <v>44868</v>
      </c>
      <c r="F40" s="37" t="s">
        <v>39</v>
      </c>
      <c r="G40" s="38"/>
      <c r="H40" s="38">
        <v>85.6</v>
      </c>
      <c r="I40" s="38"/>
      <c r="J40" s="38"/>
      <c r="K40" s="38"/>
      <c r="L40" s="38"/>
      <c r="M40" s="38">
        <f t="shared" ref="M40:M45" si="12">SUM(G40:L40)</f>
        <v>85.6</v>
      </c>
    </row>
    <row r="41" spans="1:13" x14ac:dyDescent="0.3">
      <c r="A41" s="35" t="s">
        <v>56</v>
      </c>
      <c r="B41" s="35" t="s">
        <v>77</v>
      </c>
      <c r="C41" s="36">
        <v>44877</v>
      </c>
      <c r="D41" s="35" t="s">
        <v>78</v>
      </c>
      <c r="E41" s="36">
        <v>44840</v>
      </c>
      <c r="F41" s="37" t="s">
        <v>39</v>
      </c>
      <c r="G41" s="38"/>
      <c r="H41" s="38">
        <v>80.599999999999994</v>
      </c>
      <c r="I41" s="38"/>
      <c r="J41" s="38"/>
      <c r="K41" s="38"/>
      <c r="L41" s="38"/>
      <c r="M41" s="38">
        <f t="shared" si="12"/>
        <v>80.599999999999994</v>
      </c>
    </row>
    <row r="42" spans="1:13" x14ac:dyDescent="0.3">
      <c r="A42" s="35" t="s">
        <v>56</v>
      </c>
      <c r="B42" s="35" t="s">
        <v>77</v>
      </c>
      <c r="C42" s="36">
        <v>44890</v>
      </c>
      <c r="D42" s="35" t="s">
        <v>92</v>
      </c>
      <c r="E42" s="36">
        <v>45260</v>
      </c>
      <c r="F42" s="37" t="s">
        <v>39</v>
      </c>
      <c r="G42" s="38"/>
      <c r="H42" s="38">
        <v>85.6</v>
      </c>
      <c r="I42" s="38"/>
      <c r="J42" s="38"/>
      <c r="K42" s="38"/>
      <c r="L42" s="38"/>
      <c r="M42" s="38">
        <f t="shared" si="12"/>
        <v>85.6</v>
      </c>
    </row>
    <row r="43" spans="1:13" x14ac:dyDescent="0.3">
      <c r="A43" s="35" t="s">
        <v>56</v>
      </c>
      <c r="B43" s="35" t="s">
        <v>77</v>
      </c>
      <c r="C43" s="36">
        <v>44890</v>
      </c>
      <c r="D43" s="35" t="s">
        <v>94</v>
      </c>
      <c r="E43" s="36">
        <v>44896</v>
      </c>
      <c r="F43" s="37" t="s">
        <v>39</v>
      </c>
      <c r="G43" s="38"/>
      <c r="H43" s="38">
        <v>85.6</v>
      </c>
      <c r="I43" s="38"/>
      <c r="J43" s="38"/>
      <c r="K43" s="38"/>
      <c r="L43" s="38"/>
      <c r="M43" s="38">
        <f t="shared" si="12"/>
        <v>85.6</v>
      </c>
    </row>
    <row r="44" spans="1:13" x14ac:dyDescent="0.3">
      <c r="A44" s="35" t="s">
        <v>56</v>
      </c>
      <c r="B44" s="35" t="s">
        <v>77</v>
      </c>
      <c r="C44" s="36">
        <v>44890</v>
      </c>
      <c r="D44" s="35" t="s">
        <v>93</v>
      </c>
      <c r="E44" s="36">
        <v>44902</v>
      </c>
      <c r="F44" s="37" t="s">
        <v>39</v>
      </c>
      <c r="G44" s="38"/>
      <c r="H44" s="38">
        <v>85.6</v>
      </c>
      <c r="I44" s="38"/>
      <c r="J44" s="38"/>
      <c r="K44" s="38"/>
      <c r="L44" s="38"/>
      <c r="M44" s="38">
        <f t="shared" si="12"/>
        <v>85.6</v>
      </c>
    </row>
    <row r="45" spans="1:13" x14ac:dyDescent="0.3">
      <c r="A45" s="35" t="s">
        <v>56</v>
      </c>
      <c r="B45" s="35" t="s">
        <v>77</v>
      </c>
      <c r="C45" s="36"/>
      <c r="D45" s="35"/>
      <c r="E45" s="36"/>
      <c r="F45" s="37"/>
      <c r="G45" s="38"/>
      <c r="H45" s="38"/>
      <c r="I45" s="38"/>
      <c r="J45" s="38"/>
      <c r="K45" s="38"/>
      <c r="L45" s="38"/>
      <c r="M45" s="38">
        <f t="shared" si="12"/>
        <v>0</v>
      </c>
    </row>
    <row r="46" spans="1:13" x14ac:dyDescent="0.3">
      <c r="A46" s="48" t="s">
        <v>56</v>
      </c>
      <c r="B46" s="39"/>
      <c r="C46" s="41"/>
      <c r="D46" s="42"/>
      <c r="E46" s="43"/>
      <c r="F46" s="39"/>
      <c r="G46" s="44">
        <f t="shared" ref="G46:J46" si="13">SUM(G39:G45)</f>
        <v>252.66</v>
      </c>
      <c r="H46" s="44">
        <f>SUM(H39:H45)</f>
        <v>464.80000000000007</v>
      </c>
      <c r="I46" s="44">
        <f t="shared" si="13"/>
        <v>0</v>
      </c>
      <c r="J46" s="44">
        <f t="shared" si="13"/>
        <v>0</v>
      </c>
      <c r="K46" s="44">
        <f>SUM(K39:K45)</f>
        <v>76.95</v>
      </c>
      <c r="L46" s="44">
        <f>SUM(L39:L45)</f>
        <v>0</v>
      </c>
      <c r="M46" s="44">
        <f>SUM(M39:M45)</f>
        <v>794.41000000000008</v>
      </c>
    </row>
    <row r="47" spans="1:13" x14ac:dyDescent="0.3">
      <c r="A47" s="35" t="s">
        <v>62</v>
      </c>
      <c r="B47" s="35" t="s">
        <v>77</v>
      </c>
      <c r="C47" s="36">
        <v>44887</v>
      </c>
      <c r="D47" s="35" t="s">
        <v>90</v>
      </c>
      <c r="E47" s="36">
        <v>44886</v>
      </c>
      <c r="F47" s="37" t="s">
        <v>43</v>
      </c>
      <c r="G47" s="38"/>
      <c r="H47" s="38">
        <f>8+41.7</f>
        <v>49.7</v>
      </c>
      <c r="I47" s="38">
        <v>0</v>
      </c>
      <c r="J47" s="38">
        <v>50</v>
      </c>
      <c r="K47" s="38">
        <f>29.5+76.95</f>
        <v>106.45</v>
      </c>
      <c r="L47" s="38"/>
      <c r="M47" s="38">
        <f t="shared" ref="M47:M52" si="14">SUM(G47:L47)</f>
        <v>206.15</v>
      </c>
    </row>
    <row r="48" spans="1:13" x14ac:dyDescent="0.3">
      <c r="A48" s="35" t="s">
        <v>62</v>
      </c>
      <c r="B48" s="35" t="s">
        <v>77</v>
      </c>
      <c r="C48" s="36">
        <v>44893</v>
      </c>
      <c r="D48" s="35" t="s">
        <v>94</v>
      </c>
      <c r="E48" s="36">
        <v>44896</v>
      </c>
      <c r="F48" s="37" t="s">
        <v>39</v>
      </c>
      <c r="G48" s="38"/>
      <c r="H48" s="38">
        <f>41.7+14.4</f>
        <v>56.1</v>
      </c>
      <c r="I48" s="38"/>
      <c r="J48" s="38"/>
      <c r="K48" s="38"/>
      <c r="L48" s="38"/>
      <c r="M48" s="38">
        <f t="shared" si="14"/>
        <v>56.1</v>
      </c>
    </row>
    <row r="49" spans="1:13" x14ac:dyDescent="0.3">
      <c r="A49" s="35" t="s">
        <v>62</v>
      </c>
      <c r="B49" s="35" t="s">
        <v>77</v>
      </c>
      <c r="C49" s="36">
        <v>44893</v>
      </c>
      <c r="D49" s="35" t="s">
        <v>93</v>
      </c>
      <c r="E49" s="36">
        <v>44902</v>
      </c>
      <c r="F49" s="37" t="s">
        <v>39</v>
      </c>
      <c r="G49" s="38"/>
      <c r="H49" s="38">
        <v>41.7</v>
      </c>
      <c r="I49" s="38"/>
      <c r="J49" s="38"/>
      <c r="K49" s="38"/>
      <c r="L49" s="38"/>
      <c r="M49" s="38">
        <f t="shared" si="14"/>
        <v>41.7</v>
      </c>
    </row>
    <row r="50" spans="1:13" x14ac:dyDescent="0.3">
      <c r="A50" s="35" t="s">
        <v>62</v>
      </c>
      <c r="B50" s="35" t="s">
        <v>77</v>
      </c>
      <c r="C50" s="36">
        <v>44923</v>
      </c>
      <c r="D50" s="35" t="s">
        <v>82</v>
      </c>
      <c r="E50" s="36">
        <v>44936</v>
      </c>
      <c r="F50" s="37" t="s">
        <v>39</v>
      </c>
      <c r="G50" s="38"/>
      <c r="H50" s="38">
        <v>41.7</v>
      </c>
      <c r="I50" s="38"/>
      <c r="J50" s="38"/>
      <c r="K50" s="38"/>
      <c r="L50" s="38"/>
      <c r="M50" s="38">
        <f t="shared" si="14"/>
        <v>41.7</v>
      </c>
    </row>
    <row r="51" spans="1:13" x14ac:dyDescent="0.3">
      <c r="A51" s="35" t="s">
        <v>62</v>
      </c>
      <c r="B51" s="35" t="s">
        <v>77</v>
      </c>
      <c r="C51" s="36">
        <v>44923</v>
      </c>
      <c r="D51" s="35" t="s">
        <v>82</v>
      </c>
      <c r="E51" s="36">
        <v>44945</v>
      </c>
      <c r="F51" s="37" t="s">
        <v>39</v>
      </c>
      <c r="G51" s="38"/>
      <c r="H51" s="38">
        <v>41.7</v>
      </c>
      <c r="I51" s="38"/>
      <c r="J51" s="38"/>
      <c r="K51" s="38"/>
      <c r="L51" s="38"/>
      <c r="M51" s="38">
        <f t="shared" si="14"/>
        <v>41.7</v>
      </c>
    </row>
    <row r="52" spans="1:13" x14ac:dyDescent="0.3">
      <c r="A52" s="35" t="s">
        <v>62</v>
      </c>
      <c r="B52" s="35" t="s">
        <v>77</v>
      </c>
      <c r="C52" s="36"/>
      <c r="D52" s="35"/>
      <c r="E52" s="36"/>
      <c r="F52" s="37"/>
      <c r="G52" s="38"/>
      <c r="H52" s="38"/>
      <c r="I52" s="38"/>
      <c r="J52" s="38"/>
      <c r="K52" s="38"/>
      <c r="L52" s="38"/>
      <c r="M52" s="38">
        <f t="shared" si="14"/>
        <v>0</v>
      </c>
    </row>
    <row r="53" spans="1:13" x14ac:dyDescent="0.3">
      <c r="A53" s="48" t="s">
        <v>62</v>
      </c>
      <c r="B53" s="39"/>
      <c r="C53" s="41"/>
      <c r="D53" s="42"/>
      <c r="E53" s="43"/>
      <c r="F53" s="39"/>
      <c r="G53" s="44">
        <f>SUM(G47:G52)</f>
        <v>0</v>
      </c>
      <c r="H53" s="44">
        <f>SUM(H47:H52)</f>
        <v>230.89999999999998</v>
      </c>
      <c r="I53" s="44">
        <f t="shared" ref="I53:M53" si="15">SUM(I47:I52)</f>
        <v>0</v>
      </c>
      <c r="J53" s="44">
        <f t="shared" si="15"/>
        <v>50</v>
      </c>
      <c r="K53" s="44">
        <f t="shared" si="15"/>
        <v>106.45</v>
      </c>
      <c r="L53" s="44">
        <f t="shared" si="15"/>
        <v>0</v>
      </c>
      <c r="M53" s="44">
        <f t="shared" si="15"/>
        <v>387.34999999999997</v>
      </c>
    </row>
    <row r="54" spans="1:13" x14ac:dyDescent="0.3">
      <c r="A54" s="35" t="s">
        <v>76</v>
      </c>
      <c r="B54" s="35" t="s">
        <v>77</v>
      </c>
      <c r="C54" s="36">
        <v>44859</v>
      </c>
      <c r="D54" s="35" t="s">
        <v>78</v>
      </c>
      <c r="E54" s="36">
        <v>44839</v>
      </c>
      <c r="F54" s="37" t="s">
        <v>39</v>
      </c>
      <c r="G54" s="38"/>
      <c r="H54" s="38"/>
      <c r="I54" s="38"/>
      <c r="J54" s="38"/>
      <c r="K54" s="38">
        <f>2+16.09+6</f>
        <v>24.09</v>
      </c>
      <c r="L54" s="38"/>
      <c r="M54" s="38">
        <f>SUM(G54:L54)</f>
        <v>24.09</v>
      </c>
    </row>
    <row r="55" spans="1:13" x14ac:dyDescent="0.3">
      <c r="A55" s="35" t="s">
        <v>76</v>
      </c>
      <c r="B55" s="35" t="s">
        <v>77</v>
      </c>
      <c r="C55" s="36">
        <v>44859</v>
      </c>
      <c r="D55" s="35" t="s">
        <v>46</v>
      </c>
      <c r="E55" s="36">
        <v>44855</v>
      </c>
      <c r="F55" s="37" t="s">
        <v>39</v>
      </c>
      <c r="G55" s="38"/>
      <c r="H55" s="38"/>
      <c r="I55" s="38"/>
      <c r="J55" s="38"/>
      <c r="K55" s="38">
        <f>11.9+2.45+7.5</f>
        <v>21.85</v>
      </c>
      <c r="L55" s="38"/>
      <c r="M55" s="38">
        <f t="shared" ref="M55:M77" si="16">SUM(G55:L55)</f>
        <v>21.85</v>
      </c>
    </row>
    <row r="56" spans="1:13" x14ac:dyDescent="0.3">
      <c r="A56" s="35" t="s">
        <v>76</v>
      </c>
      <c r="B56" s="35" t="s">
        <v>77</v>
      </c>
      <c r="C56" s="36">
        <v>44859</v>
      </c>
      <c r="D56" s="35" t="s">
        <v>79</v>
      </c>
      <c r="E56" s="36">
        <v>44845</v>
      </c>
      <c r="F56" s="37" t="s">
        <v>80</v>
      </c>
      <c r="G56" s="38"/>
      <c r="H56" s="38"/>
      <c r="I56" s="38"/>
      <c r="J56" s="38"/>
      <c r="K56" s="38">
        <f>6.3+15.05+4.35</f>
        <v>25.700000000000003</v>
      </c>
      <c r="L56" s="38"/>
      <c r="M56" s="38">
        <f t="shared" si="16"/>
        <v>25.700000000000003</v>
      </c>
    </row>
    <row r="57" spans="1:13" x14ac:dyDescent="0.3">
      <c r="A57" s="35" t="s">
        <v>76</v>
      </c>
      <c r="B57" s="35" t="s">
        <v>77</v>
      </c>
      <c r="C57" s="36">
        <v>44859</v>
      </c>
      <c r="D57" s="35" t="s">
        <v>79</v>
      </c>
      <c r="E57" s="36">
        <v>44847</v>
      </c>
      <c r="F57" s="37" t="s">
        <v>39</v>
      </c>
      <c r="G57" s="38"/>
      <c r="H57" s="38"/>
      <c r="I57" s="38"/>
      <c r="J57" s="38"/>
      <c r="K57" s="38">
        <f>9.75+11.9+8.05+18.69</f>
        <v>48.39</v>
      </c>
      <c r="L57" s="38"/>
      <c r="M57" s="38">
        <f t="shared" si="16"/>
        <v>48.39</v>
      </c>
    </row>
    <row r="58" spans="1:13" x14ac:dyDescent="0.3">
      <c r="A58" s="35" t="s">
        <v>76</v>
      </c>
      <c r="B58" s="35" t="s">
        <v>77</v>
      </c>
      <c r="C58" s="36">
        <v>44875</v>
      </c>
      <c r="D58" s="35" t="s">
        <v>82</v>
      </c>
      <c r="E58" s="36"/>
      <c r="F58" s="37" t="s">
        <v>39</v>
      </c>
      <c r="G58" s="38"/>
      <c r="H58" s="38">
        <f>1.65+1.65</f>
        <v>3.3</v>
      </c>
      <c r="I58" s="38"/>
      <c r="J58" s="38"/>
      <c r="K58" s="38">
        <v>19.97</v>
      </c>
      <c r="L58" s="38"/>
      <c r="M58" s="38">
        <f t="shared" si="16"/>
        <v>23.27</v>
      </c>
    </row>
    <row r="59" spans="1:13" x14ac:dyDescent="0.3">
      <c r="A59" s="35" t="s">
        <v>76</v>
      </c>
      <c r="B59" s="35" t="s">
        <v>77</v>
      </c>
      <c r="C59" s="36">
        <v>44893</v>
      </c>
      <c r="D59" s="35" t="s">
        <v>86</v>
      </c>
      <c r="E59" s="36">
        <v>44893</v>
      </c>
      <c r="F59" s="37" t="s">
        <v>87</v>
      </c>
      <c r="G59" s="38"/>
      <c r="H59" s="38"/>
      <c r="I59" s="38"/>
      <c r="J59" s="38"/>
      <c r="K59" s="38"/>
      <c r="L59" s="38">
        <v>237</v>
      </c>
      <c r="M59" s="38">
        <f t="shared" si="16"/>
        <v>237</v>
      </c>
    </row>
    <row r="60" spans="1:13" x14ac:dyDescent="0.3">
      <c r="A60" s="35" t="s">
        <v>76</v>
      </c>
      <c r="B60" s="35" t="s">
        <v>77</v>
      </c>
      <c r="C60" s="36">
        <v>44893</v>
      </c>
      <c r="D60" s="35" t="s">
        <v>88</v>
      </c>
      <c r="E60" s="36">
        <v>44889</v>
      </c>
      <c r="F60" s="37" t="s">
        <v>89</v>
      </c>
      <c r="G60" s="38"/>
      <c r="H60" s="38">
        <v>4</v>
      </c>
      <c r="I60" s="38"/>
      <c r="J60" s="38"/>
      <c r="K60" s="38"/>
      <c r="L60" s="38"/>
      <c r="M60" s="38">
        <f t="shared" si="16"/>
        <v>4</v>
      </c>
    </row>
    <row r="61" spans="1:13" x14ac:dyDescent="0.3">
      <c r="A61" s="35" t="s">
        <v>76</v>
      </c>
      <c r="B61" s="35" t="s">
        <v>77</v>
      </c>
      <c r="C61" s="36">
        <v>44893</v>
      </c>
      <c r="D61" s="35" t="s">
        <v>91</v>
      </c>
      <c r="E61" s="36">
        <v>44886</v>
      </c>
      <c r="F61" s="37" t="s">
        <v>43</v>
      </c>
      <c r="G61" s="38">
        <f>39.99+116.98</f>
        <v>156.97</v>
      </c>
      <c r="H61" s="38">
        <v>2.6</v>
      </c>
      <c r="I61" s="38">
        <v>11</v>
      </c>
      <c r="J61" s="38">
        <v>50</v>
      </c>
      <c r="K61" s="38">
        <f>44+76.95</f>
        <v>120.95</v>
      </c>
      <c r="L61" s="38"/>
      <c r="M61" s="38">
        <f t="shared" si="16"/>
        <v>341.52</v>
      </c>
    </row>
    <row r="62" spans="1:13" x14ac:dyDescent="0.3">
      <c r="A62" s="35" t="s">
        <v>76</v>
      </c>
      <c r="B62" s="35" t="s">
        <v>77</v>
      </c>
      <c r="C62" s="36">
        <v>44910</v>
      </c>
      <c r="D62" s="35" t="s">
        <v>82</v>
      </c>
      <c r="E62" s="36">
        <v>44902</v>
      </c>
      <c r="F62" s="37" t="s">
        <v>39</v>
      </c>
      <c r="G62" s="38"/>
      <c r="H62" s="38">
        <v>3.3</v>
      </c>
      <c r="I62" s="38"/>
      <c r="J62" s="38"/>
      <c r="K62" s="38">
        <v>16.600000000000001</v>
      </c>
      <c r="L62" s="38"/>
      <c r="M62" s="38">
        <f t="shared" si="16"/>
        <v>19.900000000000002</v>
      </c>
    </row>
    <row r="63" spans="1:13" x14ac:dyDescent="0.3">
      <c r="A63" s="35" t="s">
        <v>76</v>
      </c>
      <c r="B63" s="35" t="s">
        <v>77</v>
      </c>
      <c r="C63" s="36">
        <v>44867</v>
      </c>
      <c r="D63" s="35" t="s">
        <v>92</v>
      </c>
      <c r="E63" s="36">
        <v>44866</v>
      </c>
      <c r="F63" s="37" t="s">
        <v>39</v>
      </c>
      <c r="G63" s="38"/>
      <c r="H63" s="38"/>
      <c r="I63" s="38"/>
      <c r="J63" s="38"/>
      <c r="K63" s="38">
        <v>274.55</v>
      </c>
      <c r="L63" s="38"/>
      <c r="M63" s="38">
        <f t="shared" si="16"/>
        <v>274.55</v>
      </c>
    </row>
    <row r="64" spans="1:13" x14ac:dyDescent="0.3">
      <c r="A64" s="35" t="s">
        <v>76</v>
      </c>
      <c r="B64" s="35" t="s">
        <v>77</v>
      </c>
      <c r="C64" s="36">
        <v>44888</v>
      </c>
      <c r="D64" s="35" t="s">
        <v>82</v>
      </c>
      <c r="E64" s="36">
        <v>44895</v>
      </c>
      <c r="F64" s="37" t="s">
        <v>39</v>
      </c>
      <c r="G64" s="38"/>
      <c r="H64" s="38">
        <f>9.2+235.8+7.3</f>
        <v>252.3</v>
      </c>
      <c r="I64" s="38"/>
      <c r="J64" s="38"/>
      <c r="K64" s="38">
        <v>156.80000000000001</v>
      </c>
      <c r="L64" s="38"/>
      <c r="M64" s="38">
        <f t="shared" si="16"/>
        <v>409.1</v>
      </c>
    </row>
    <row r="65" spans="1:13" x14ac:dyDescent="0.3">
      <c r="A65" s="35" t="s">
        <v>76</v>
      </c>
      <c r="B65" s="35" t="s">
        <v>77</v>
      </c>
      <c r="C65" s="36">
        <v>44893</v>
      </c>
      <c r="D65" s="35" t="s">
        <v>78</v>
      </c>
      <c r="E65" s="36">
        <v>44901</v>
      </c>
      <c r="F65" s="37" t="s">
        <v>39</v>
      </c>
      <c r="G65" s="38"/>
      <c r="H65" s="38">
        <f>253.3+9.2</f>
        <v>262.5</v>
      </c>
      <c r="I65" s="38"/>
      <c r="J65" s="38"/>
      <c r="K65" s="38"/>
      <c r="L65" s="38"/>
      <c r="M65" s="38">
        <f t="shared" si="16"/>
        <v>262.5</v>
      </c>
    </row>
    <row r="66" spans="1:13" x14ac:dyDescent="0.3">
      <c r="A66" s="35" t="s">
        <v>76</v>
      </c>
      <c r="B66" s="35" t="s">
        <v>77</v>
      </c>
      <c r="C66" s="36">
        <v>44896</v>
      </c>
      <c r="D66" s="35" t="s">
        <v>82</v>
      </c>
      <c r="E66" s="36">
        <v>44896</v>
      </c>
      <c r="F66" s="37" t="s">
        <v>39</v>
      </c>
      <c r="G66" s="38"/>
      <c r="H66" s="38">
        <f>184.7+14.6</f>
        <v>199.29999999999998</v>
      </c>
      <c r="I66" s="38"/>
      <c r="J66" s="38"/>
      <c r="K66" s="38"/>
      <c r="L66" s="38"/>
      <c r="M66" s="38">
        <f t="shared" si="16"/>
        <v>199.29999999999998</v>
      </c>
    </row>
    <row r="67" spans="1:13" x14ac:dyDescent="0.3">
      <c r="A67" s="35" t="s">
        <v>76</v>
      </c>
      <c r="B67" s="35" t="s">
        <v>77</v>
      </c>
      <c r="C67" s="36">
        <v>44900</v>
      </c>
      <c r="D67" s="35" t="s">
        <v>93</v>
      </c>
      <c r="E67" s="36">
        <v>44901</v>
      </c>
      <c r="F67" s="37" t="s">
        <v>39</v>
      </c>
      <c r="G67" s="38"/>
      <c r="H67" s="38">
        <f>14.6</f>
        <v>14.6</v>
      </c>
      <c r="I67" s="38"/>
      <c r="J67" s="38"/>
      <c r="K67" s="38">
        <v>153.94999999999999</v>
      </c>
      <c r="L67" s="38"/>
      <c r="M67" s="38">
        <f t="shared" si="16"/>
        <v>168.54999999999998</v>
      </c>
    </row>
    <row r="68" spans="1:13" x14ac:dyDescent="0.3">
      <c r="A68" s="35" t="s">
        <v>76</v>
      </c>
      <c r="B68" s="35" t="s">
        <v>77</v>
      </c>
      <c r="C68" s="36"/>
      <c r="D68" s="35"/>
      <c r="E68" s="36"/>
      <c r="F68" s="37"/>
      <c r="G68" s="38"/>
      <c r="H68" s="38"/>
      <c r="I68" s="38"/>
      <c r="J68" s="38"/>
      <c r="K68" s="38"/>
      <c r="L68" s="38"/>
      <c r="M68" s="38">
        <f t="shared" si="16"/>
        <v>0</v>
      </c>
    </row>
    <row r="69" spans="1:13" x14ac:dyDescent="0.3">
      <c r="A69" s="35" t="s">
        <v>76</v>
      </c>
      <c r="B69" s="35" t="s">
        <v>77</v>
      </c>
      <c r="C69" s="36"/>
      <c r="D69" s="35"/>
      <c r="E69" s="36"/>
      <c r="F69" s="37"/>
      <c r="G69" s="38"/>
      <c r="H69" s="38"/>
      <c r="I69" s="38"/>
      <c r="J69" s="38"/>
      <c r="K69" s="38"/>
      <c r="L69" s="38"/>
      <c r="M69" s="38">
        <f t="shared" si="16"/>
        <v>0</v>
      </c>
    </row>
    <row r="70" spans="1:13" x14ac:dyDescent="0.3">
      <c r="A70" s="35" t="s">
        <v>76</v>
      </c>
      <c r="B70" s="35" t="s">
        <v>77</v>
      </c>
      <c r="C70" s="36"/>
      <c r="D70" s="35"/>
      <c r="E70" s="36"/>
      <c r="F70" s="37"/>
      <c r="G70" s="38"/>
      <c r="H70" s="38"/>
      <c r="I70" s="38"/>
      <c r="J70" s="38"/>
      <c r="K70" s="38"/>
      <c r="L70" s="38"/>
      <c r="M70" s="38">
        <f t="shared" si="16"/>
        <v>0</v>
      </c>
    </row>
    <row r="71" spans="1:13" x14ac:dyDescent="0.3">
      <c r="A71" s="35" t="s">
        <v>76</v>
      </c>
      <c r="B71" s="35" t="s">
        <v>77</v>
      </c>
      <c r="C71" s="36"/>
      <c r="D71" s="35"/>
      <c r="E71" s="36"/>
      <c r="F71" s="37"/>
      <c r="G71" s="38"/>
      <c r="H71" s="38"/>
      <c r="I71" s="38"/>
      <c r="J71" s="38"/>
      <c r="K71" s="38"/>
      <c r="L71" s="38"/>
      <c r="M71" s="38">
        <f t="shared" si="16"/>
        <v>0</v>
      </c>
    </row>
    <row r="72" spans="1:13" x14ac:dyDescent="0.3">
      <c r="A72" s="35" t="s">
        <v>76</v>
      </c>
      <c r="B72" s="35" t="s">
        <v>77</v>
      </c>
      <c r="C72" s="36"/>
      <c r="D72" s="35"/>
      <c r="E72" s="36"/>
      <c r="F72" s="37"/>
      <c r="G72" s="38"/>
      <c r="H72" s="38"/>
      <c r="I72" s="38"/>
      <c r="J72" s="38"/>
      <c r="K72" s="38"/>
      <c r="L72" s="38"/>
      <c r="M72" s="38">
        <f t="shared" si="16"/>
        <v>0</v>
      </c>
    </row>
    <row r="73" spans="1:13" x14ac:dyDescent="0.3">
      <c r="A73" s="35" t="s">
        <v>76</v>
      </c>
      <c r="B73" s="35" t="s">
        <v>77</v>
      </c>
      <c r="C73" s="36"/>
      <c r="D73" s="35"/>
      <c r="E73" s="36"/>
      <c r="F73" s="37"/>
      <c r="G73" s="38"/>
      <c r="H73" s="38"/>
      <c r="I73" s="38"/>
      <c r="J73" s="38"/>
      <c r="K73" s="38"/>
      <c r="L73" s="38"/>
      <c r="M73" s="38">
        <f t="shared" si="16"/>
        <v>0</v>
      </c>
    </row>
    <row r="74" spans="1:13" x14ac:dyDescent="0.3">
      <c r="A74" s="35" t="s">
        <v>76</v>
      </c>
      <c r="B74" s="35" t="s">
        <v>77</v>
      </c>
      <c r="C74" s="36"/>
      <c r="D74" s="35"/>
      <c r="E74" s="36"/>
      <c r="F74" s="37"/>
      <c r="G74" s="38"/>
      <c r="H74" s="38"/>
      <c r="I74" s="38"/>
      <c r="J74" s="38"/>
      <c r="K74" s="38"/>
      <c r="L74" s="38"/>
      <c r="M74" s="38">
        <f t="shared" si="16"/>
        <v>0</v>
      </c>
    </row>
    <row r="75" spans="1:13" x14ac:dyDescent="0.3">
      <c r="A75" s="35" t="s">
        <v>76</v>
      </c>
      <c r="B75" s="35" t="s">
        <v>77</v>
      </c>
      <c r="C75" s="36"/>
      <c r="D75" s="35"/>
      <c r="E75" s="36"/>
      <c r="F75" s="37"/>
      <c r="G75" s="38"/>
      <c r="H75" s="38"/>
      <c r="I75" s="38"/>
      <c r="J75" s="38"/>
      <c r="K75" s="38"/>
      <c r="L75" s="38"/>
      <c r="M75" s="38">
        <f t="shared" si="16"/>
        <v>0</v>
      </c>
    </row>
    <row r="76" spans="1:13" x14ac:dyDescent="0.3">
      <c r="A76" s="35" t="s">
        <v>76</v>
      </c>
      <c r="B76" s="35" t="s">
        <v>77</v>
      </c>
      <c r="C76" s="36"/>
      <c r="D76" s="35"/>
      <c r="E76" s="36"/>
      <c r="F76" s="37"/>
      <c r="G76" s="38"/>
      <c r="H76" s="38"/>
      <c r="I76" s="38"/>
      <c r="J76" s="38"/>
      <c r="K76" s="38"/>
      <c r="L76" s="38"/>
      <c r="M76" s="38">
        <f t="shared" si="16"/>
        <v>0</v>
      </c>
    </row>
    <row r="77" spans="1:13" x14ac:dyDescent="0.3">
      <c r="A77" s="35" t="s">
        <v>76</v>
      </c>
      <c r="B77" s="35" t="s">
        <v>77</v>
      </c>
      <c r="C77" s="36"/>
      <c r="D77" s="35"/>
      <c r="E77" s="36"/>
      <c r="F77" s="37"/>
      <c r="G77" s="38"/>
      <c r="H77" s="38"/>
      <c r="I77" s="38"/>
      <c r="J77" s="38"/>
      <c r="K77" s="38"/>
      <c r="L77" s="38"/>
      <c r="M77" s="38">
        <f t="shared" si="16"/>
        <v>0</v>
      </c>
    </row>
    <row r="78" spans="1:13" x14ac:dyDescent="0.3">
      <c r="A78" s="48" t="s">
        <v>76</v>
      </c>
      <c r="B78" s="39"/>
      <c r="C78" s="41"/>
      <c r="D78" s="42"/>
      <c r="E78" s="43"/>
      <c r="F78" s="39"/>
      <c r="G78" s="44">
        <f t="shared" ref="G78:M78" si="17">SUM(G54:G77)</f>
        <v>156.97</v>
      </c>
      <c r="H78" s="44">
        <f t="shared" si="17"/>
        <v>741.9</v>
      </c>
      <c r="I78" s="44">
        <f t="shared" si="17"/>
        <v>11</v>
      </c>
      <c r="J78" s="44">
        <f t="shared" si="17"/>
        <v>50</v>
      </c>
      <c r="K78" s="44">
        <f t="shared" si="17"/>
        <v>862.85000000000014</v>
      </c>
      <c r="L78" s="44">
        <f t="shared" si="17"/>
        <v>237</v>
      </c>
      <c r="M78" s="44">
        <f t="shared" si="17"/>
        <v>2059.7199999999998</v>
      </c>
    </row>
    <row r="79" spans="1:13" x14ac:dyDescent="0.3">
      <c r="A79" s="35" t="s">
        <v>81</v>
      </c>
      <c r="B79" s="35" t="s">
        <v>77</v>
      </c>
      <c r="C79" s="36">
        <v>44875</v>
      </c>
      <c r="D79" s="50" t="s">
        <v>82</v>
      </c>
      <c r="E79" s="36">
        <v>44804</v>
      </c>
      <c r="F79" s="37" t="s">
        <v>39</v>
      </c>
      <c r="G79" s="38"/>
      <c r="H79" s="38">
        <v>4.0999999999999996</v>
      </c>
      <c r="I79" s="38"/>
      <c r="J79" s="38"/>
      <c r="K79" s="38"/>
      <c r="L79" s="38"/>
      <c r="M79" s="38">
        <f>SUM(G79:L79)</f>
        <v>4.0999999999999996</v>
      </c>
    </row>
    <row r="80" spans="1:13" x14ac:dyDescent="0.3">
      <c r="A80" s="35" t="s">
        <v>81</v>
      </c>
      <c r="B80" s="35" t="s">
        <v>77</v>
      </c>
      <c r="C80" s="36">
        <v>44875</v>
      </c>
      <c r="D80" s="50" t="s">
        <v>82</v>
      </c>
      <c r="E80" s="36">
        <v>44812</v>
      </c>
      <c r="F80" s="37" t="s">
        <v>39</v>
      </c>
      <c r="G80" s="38"/>
      <c r="H80" s="38">
        <f>1.8+2.6</f>
        <v>4.4000000000000004</v>
      </c>
      <c r="I80" s="38"/>
      <c r="J80" s="38"/>
      <c r="K80" s="38"/>
      <c r="L80" s="38"/>
      <c r="M80" s="38">
        <f t="shared" ref="M80:M86" si="18">SUM(G80:L80)</f>
        <v>4.4000000000000004</v>
      </c>
    </row>
    <row r="81" spans="1:13" x14ac:dyDescent="0.3">
      <c r="A81" s="35" t="s">
        <v>81</v>
      </c>
      <c r="B81" s="35" t="s">
        <v>77</v>
      </c>
      <c r="C81" s="36">
        <v>44875</v>
      </c>
      <c r="D81" s="50" t="s">
        <v>82</v>
      </c>
      <c r="E81" s="36">
        <v>44813</v>
      </c>
      <c r="F81" s="37" t="s">
        <v>39</v>
      </c>
      <c r="G81" s="38"/>
      <c r="H81" s="38">
        <v>2.5</v>
      </c>
      <c r="I81" s="38"/>
      <c r="J81" s="38"/>
      <c r="K81" s="38">
        <v>17.649999999999999</v>
      </c>
      <c r="L81" s="38"/>
      <c r="M81" s="38">
        <f t="shared" si="18"/>
        <v>20.149999999999999</v>
      </c>
    </row>
    <row r="82" spans="1:13" x14ac:dyDescent="0.3">
      <c r="A82" s="35" t="s">
        <v>81</v>
      </c>
      <c r="B82" s="35" t="s">
        <v>77</v>
      </c>
      <c r="C82" s="36">
        <v>44875</v>
      </c>
      <c r="D82" s="50" t="s">
        <v>82</v>
      </c>
      <c r="E82" s="36">
        <v>44818</v>
      </c>
      <c r="F82" s="37" t="s">
        <v>39</v>
      </c>
      <c r="G82" s="38"/>
      <c r="H82" s="38">
        <v>1.8</v>
      </c>
      <c r="I82" s="38"/>
      <c r="J82" s="38"/>
      <c r="K82" s="38">
        <v>21.15</v>
      </c>
      <c r="L82" s="38"/>
      <c r="M82" s="38">
        <f t="shared" si="18"/>
        <v>22.95</v>
      </c>
    </row>
    <row r="83" spans="1:13" x14ac:dyDescent="0.3">
      <c r="A83" s="35" t="s">
        <v>81</v>
      </c>
      <c r="B83" s="35" t="s">
        <v>77</v>
      </c>
      <c r="C83" s="36">
        <v>44875</v>
      </c>
      <c r="D83" s="50" t="s">
        <v>82</v>
      </c>
      <c r="E83" s="36">
        <v>44819</v>
      </c>
      <c r="F83" s="37" t="s">
        <v>39</v>
      </c>
      <c r="G83" s="38"/>
      <c r="H83" s="38">
        <v>1.8</v>
      </c>
      <c r="I83" s="38"/>
      <c r="J83" s="38"/>
      <c r="K83" s="38"/>
      <c r="L83" s="38"/>
      <c r="M83" s="38">
        <f t="shared" si="18"/>
        <v>1.8</v>
      </c>
    </row>
    <row r="84" spans="1:13" x14ac:dyDescent="0.3">
      <c r="A84" s="35" t="s">
        <v>81</v>
      </c>
      <c r="B84" s="35" t="s">
        <v>77</v>
      </c>
      <c r="C84" s="36">
        <v>44880</v>
      </c>
      <c r="D84" s="50" t="s">
        <v>85</v>
      </c>
      <c r="E84" s="36">
        <v>44847</v>
      </c>
      <c r="F84" s="37" t="s">
        <v>39</v>
      </c>
      <c r="G84" s="38"/>
      <c r="H84" s="38">
        <v>6.2</v>
      </c>
      <c r="I84" s="38"/>
      <c r="J84" s="38"/>
      <c r="K84" s="38">
        <v>111.45</v>
      </c>
      <c r="L84" s="38"/>
      <c r="M84" s="38">
        <f t="shared" si="18"/>
        <v>117.65</v>
      </c>
    </row>
    <row r="85" spans="1:13" x14ac:dyDescent="0.3">
      <c r="A85" s="35" t="s">
        <v>81</v>
      </c>
      <c r="B85" s="35" t="s">
        <v>77</v>
      </c>
      <c r="C85" s="36">
        <v>44880</v>
      </c>
      <c r="D85" s="50" t="s">
        <v>83</v>
      </c>
      <c r="E85" s="36">
        <v>44855</v>
      </c>
      <c r="F85" s="37" t="s">
        <v>84</v>
      </c>
      <c r="G85" s="38"/>
      <c r="H85" s="38">
        <f>6.8</f>
        <v>6.8</v>
      </c>
      <c r="I85" s="38"/>
      <c r="J85" s="38">
        <v>30</v>
      </c>
      <c r="K85" s="38"/>
      <c r="L85" s="38"/>
      <c r="M85" s="38">
        <f t="shared" si="18"/>
        <v>36.799999999999997</v>
      </c>
    </row>
    <row r="86" spans="1:13" x14ac:dyDescent="0.3">
      <c r="A86" s="35" t="s">
        <v>81</v>
      </c>
      <c r="B86" s="35" t="s">
        <v>77</v>
      </c>
      <c r="C86" s="36"/>
      <c r="D86" s="50"/>
      <c r="E86" s="36"/>
      <c r="F86" s="37"/>
      <c r="G86" s="38"/>
      <c r="H86" s="38"/>
      <c r="I86" s="38"/>
      <c r="J86" s="38"/>
      <c r="K86" s="38"/>
      <c r="L86" s="38"/>
      <c r="M86" s="38">
        <f t="shared" si="18"/>
        <v>0</v>
      </c>
    </row>
    <row r="87" spans="1:13" x14ac:dyDescent="0.3">
      <c r="A87" s="48" t="s">
        <v>81</v>
      </c>
      <c r="B87" s="39"/>
      <c r="C87" s="41"/>
      <c r="D87" s="42"/>
      <c r="E87" s="43"/>
      <c r="F87" s="39"/>
      <c r="G87" s="44">
        <f>SUM(G79:G86)</f>
        <v>0</v>
      </c>
      <c r="H87" s="44">
        <f>SUM(H79:H86)</f>
        <v>27.6</v>
      </c>
      <c r="I87" s="44">
        <f t="shared" ref="I87:M87" si="19">SUM(I79:I86)</f>
        <v>0</v>
      </c>
      <c r="J87" s="44">
        <f t="shared" si="19"/>
        <v>30</v>
      </c>
      <c r="K87" s="44">
        <f t="shared" si="19"/>
        <v>150.25</v>
      </c>
      <c r="L87" s="44">
        <f t="shared" si="19"/>
        <v>0</v>
      </c>
      <c r="M87" s="44">
        <f t="shared" si="19"/>
        <v>207.85000000000002</v>
      </c>
    </row>
    <row r="88" spans="1:13" x14ac:dyDescent="0.3">
      <c r="A88" s="35" t="s">
        <v>57</v>
      </c>
      <c r="B88" s="35" t="s">
        <v>77</v>
      </c>
      <c r="C88" s="36">
        <v>44866</v>
      </c>
      <c r="D88" s="35" t="s">
        <v>91</v>
      </c>
      <c r="E88" s="36">
        <v>44886</v>
      </c>
      <c r="F88" s="37" t="s">
        <v>43</v>
      </c>
      <c r="G88" s="38">
        <v>252.66</v>
      </c>
      <c r="H88" s="38"/>
      <c r="I88" s="38"/>
      <c r="J88" s="38"/>
      <c r="K88" s="38">
        <f>76.95</f>
        <v>76.95</v>
      </c>
      <c r="L88" s="38"/>
      <c r="M88" s="38">
        <f>SUM(G88:L88)</f>
        <v>329.61</v>
      </c>
    </row>
    <row r="89" spans="1:13" x14ac:dyDescent="0.3">
      <c r="A89" s="35"/>
      <c r="B89" s="35"/>
      <c r="C89" s="36"/>
      <c r="D89" s="50"/>
      <c r="E89" s="36"/>
      <c r="F89" s="37"/>
      <c r="G89" s="38"/>
      <c r="H89" s="38"/>
      <c r="I89" s="38"/>
      <c r="J89" s="38"/>
      <c r="K89" s="38"/>
      <c r="L89" s="38"/>
      <c r="M89" s="38">
        <f t="shared" ref="M89:M90" si="20">SUM(G89:L89)</f>
        <v>0</v>
      </c>
    </row>
    <row r="90" spans="1:13" x14ac:dyDescent="0.3">
      <c r="A90" s="35"/>
      <c r="B90" s="35"/>
      <c r="C90" s="36"/>
      <c r="D90" s="35"/>
      <c r="E90" s="36"/>
      <c r="F90" s="37"/>
      <c r="G90" s="38"/>
      <c r="H90" s="38"/>
      <c r="I90" s="38"/>
      <c r="J90" s="38"/>
      <c r="K90" s="38"/>
      <c r="L90" s="38"/>
      <c r="M90" s="38">
        <f t="shared" si="20"/>
        <v>0</v>
      </c>
    </row>
    <row r="91" spans="1:13" x14ac:dyDescent="0.3">
      <c r="A91" s="48" t="s">
        <v>57</v>
      </c>
      <c r="B91" s="39"/>
      <c r="C91" s="41"/>
      <c r="D91" s="42"/>
      <c r="E91" s="43"/>
      <c r="F91" s="39"/>
      <c r="G91" s="44">
        <f t="shared" ref="G91:M91" si="21">SUM(G88:G90)</f>
        <v>252.66</v>
      </c>
      <c r="H91" s="44">
        <f t="shared" si="21"/>
        <v>0</v>
      </c>
      <c r="I91" s="44">
        <f t="shared" si="21"/>
        <v>0</v>
      </c>
      <c r="J91" s="44">
        <f t="shared" si="21"/>
        <v>0</v>
      </c>
      <c r="K91" s="44">
        <f t="shared" si="21"/>
        <v>76.95</v>
      </c>
      <c r="L91" s="44">
        <f t="shared" si="21"/>
        <v>0</v>
      </c>
      <c r="M91" s="44">
        <f t="shared" si="21"/>
        <v>329.61</v>
      </c>
    </row>
    <row r="92" spans="1:13" x14ac:dyDescent="0.3">
      <c r="A92" s="35"/>
      <c r="B92" s="35"/>
      <c r="C92" s="36"/>
      <c r="D92" s="35"/>
      <c r="E92" s="36"/>
      <c r="F92" s="37"/>
      <c r="G92" s="38"/>
      <c r="H92" s="38"/>
      <c r="I92" s="38"/>
      <c r="J92" s="38"/>
      <c r="K92" s="38"/>
      <c r="L92" s="38"/>
      <c r="M92" s="38">
        <f>SUM(G92:L92)</f>
        <v>0</v>
      </c>
    </row>
    <row r="93" spans="1:13" x14ac:dyDescent="0.3">
      <c r="A93" s="48"/>
      <c r="B93" s="39"/>
      <c r="C93" s="41"/>
      <c r="D93" s="42"/>
      <c r="E93" s="43"/>
      <c r="F93" s="39"/>
      <c r="G93" s="44">
        <f t="shared" ref="G93:M93" si="22">SUM(G92:G92)</f>
        <v>0</v>
      </c>
      <c r="H93" s="44">
        <f t="shared" si="22"/>
        <v>0</v>
      </c>
      <c r="I93" s="44">
        <f t="shared" si="22"/>
        <v>0</v>
      </c>
      <c r="J93" s="44">
        <f t="shared" si="22"/>
        <v>0</v>
      </c>
      <c r="K93" s="44">
        <f t="shared" si="22"/>
        <v>0</v>
      </c>
      <c r="L93" s="44">
        <f t="shared" si="22"/>
        <v>0</v>
      </c>
      <c r="M93" s="44">
        <f t="shared" si="22"/>
        <v>0</v>
      </c>
    </row>
    <row r="94" spans="1:13" x14ac:dyDescent="0.3">
      <c r="A94" s="35"/>
      <c r="B94" s="35"/>
      <c r="C94" s="36"/>
      <c r="D94" s="35"/>
      <c r="E94" s="36"/>
      <c r="F94" s="37"/>
      <c r="G94" s="38"/>
      <c r="H94" s="38"/>
      <c r="I94" s="38"/>
      <c r="J94" s="38"/>
      <c r="K94" s="38"/>
      <c r="L94" s="38"/>
      <c r="M94" s="38">
        <f>SUM(G94:L94)</f>
        <v>0</v>
      </c>
    </row>
    <row r="95" spans="1:13" x14ac:dyDescent="0.3">
      <c r="A95" s="48"/>
      <c r="B95" s="39"/>
      <c r="C95" s="41"/>
      <c r="D95" s="42"/>
      <c r="E95" s="43"/>
      <c r="F95" s="39"/>
      <c r="G95" s="44">
        <f t="shared" ref="G95:M95" si="23">SUM(G94:G94)</f>
        <v>0</v>
      </c>
      <c r="H95" s="44">
        <f t="shared" si="23"/>
        <v>0</v>
      </c>
      <c r="I95" s="44">
        <f t="shared" si="23"/>
        <v>0</v>
      </c>
      <c r="J95" s="44">
        <f t="shared" si="23"/>
        <v>0</v>
      </c>
      <c r="K95" s="44">
        <f t="shared" si="23"/>
        <v>0</v>
      </c>
      <c r="L95" s="44">
        <f t="shared" si="23"/>
        <v>0</v>
      </c>
      <c r="M95" s="44">
        <f t="shared" si="23"/>
        <v>0</v>
      </c>
    </row>
    <row r="96" spans="1:13" ht="17.25" thickBot="1" x14ac:dyDescent="0.35">
      <c r="A96" s="3"/>
      <c r="B96" s="3"/>
      <c r="C96" s="4"/>
      <c r="D96" s="3"/>
      <c r="E96" s="3"/>
      <c r="F96" s="5"/>
      <c r="G96" s="6">
        <f t="shared" ref="G96:M96" si="24">SUM(G6+G8+G12+G16+G22+G26+G30+G34+G38+G46+G78+G87+G91+G93+G95)</f>
        <v>662.29</v>
      </c>
      <c r="H96" s="6">
        <f t="shared" si="24"/>
        <v>1772.3</v>
      </c>
      <c r="I96" s="6">
        <f t="shared" si="24"/>
        <v>172.39999999999998</v>
      </c>
      <c r="J96" s="6">
        <f t="shared" si="24"/>
        <v>80</v>
      </c>
      <c r="K96" s="6">
        <f t="shared" si="24"/>
        <v>1232.2300000000002</v>
      </c>
      <c r="L96" s="6">
        <f t="shared" si="24"/>
        <v>237</v>
      </c>
      <c r="M96" s="6">
        <f t="shared" si="24"/>
        <v>4156.22</v>
      </c>
    </row>
    <row r="97" spans="1:18" ht="17.25" thickTop="1" x14ac:dyDescent="0.3">
      <c r="A97" s="7"/>
      <c r="B97" s="7"/>
      <c r="C97" s="8"/>
      <c r="D97" s="7"/>
      <c r="E97" s="7"/>
      <c r="F97" s="7"/>
      <c r="G97" s="9"/>
      <c r="H97" s="9"/>
      <c r="I97" s="9"/>
      <c r="J97" s="9"/>
      <c r="K97" s="9"/>
      <c r="L97" s="9"/>
      <c r="M97" s="9"/>
      <c r="O97" s="10"/>
      <c r="R97" s="11"/>
    </row>
    <row r="98" spans="1:18" x14ac:dyDescent="0.3">
      <c r="E98" s="12"/>
      <c r="F98" s="12"/>
      <c r="N98" s="10"/>
      <c r="O98" s="10"/>
    </row>
    <row r="99" spans="1:18" ht="17.25" thickBot="1" x14ac:dyDescent="0.35">
      <c r="A99" s="7"/>
      <c r="B99" s="7"/>
      <c r="C99" s="8"/>
      <c r="D99" s="7"/>
      <c r="E99" s="7"/>
      <c r="F99" s="7"/>
      <c r="G99" s="9"/>
      <c r="H99" s="9"/>
      <c r="I99" s="9"/>
      <c r="J99" s="9"/>
      <c r="K99" s="9"/>
      <c r="L99" s="9"/>
      <c r="M99" s="9"/>
      <c r="O99" s="10"/>
    </row>
    <row r="100" spans="1:18" ht="17.25" thickBot="1" x14ac:dyDescent="0.35">
      <c r="A100" s="7"/>
      <c r="B100" s="7"/>
      <c r="C100" s="7"/>
      <c r="D100" s="7"/>
      <c r="E100" s="7"/>
      <c r="F100" s="13" t="s">
        <v>13</v>
      </c>
      <c r="G100" s="14"/>
      <c r="H100" s="14"/>
      <c r="I100" s="14"/>
      <c r="J100" s="14"/>
      <c r="K100" s="14"/>
      <c r="L100" s="14"/>
      <c r="M100" s="15"/>
    </row>
    <row r="101" spans="1:18" ht="52.5" x14ac:dyDescent="0.3">
      <c r="A101" s="7"/>
      <c r="B101" s="7"/>
      <c r="C101" s="7"/>
      <c r="D101" s="7"/>
      <c r="E101" s="7"/>
      <c r="F101" s="16"/>
      <c r="G101" s="17" t="s">
        <v>6</v>
      </c>
      <c r="H101" s="18" t="s">
        <v>8</v>
      </c>
      <c r="I101" s="18" t="s">
        <v>27</v>
      </c>
      <c r="J101" s="18" t="s">
        <v>28</v>
      </c>
      <c r="K101" s="18" t="s">
        <v>10</v>
      </c>
      <c r="L101" s="18" t="s">
        <v>11</v>
      </c>
      <c r="M101" s="19" t="s">
        <v>17</v>
      </c>
    </row>
    <row r="102" spans="1:18" x14ac:dyDescent="0.3">
      <c r="A102" s="7"/>
      <c r="B102" s="7"/>
      <c r="C102" s="7"/>
      <c r="D102" s="7"/>
      <c r="E102" s="7"/>
      <c r="F102" s="20" t="s">
        <v>18</v>
      </c>
      <c r="G102" s="21">
        <f>G96-G103</f>
        <v>409.63</v>
      </c>
      <c r="H102" s="21">
        <f t="shared" ref="H102:M102" si="25">H96-H103</f>
        <v>1744.7</v>
      </c>
      <c r="I102" s="21">
        <f t="shared" si="25"/>
        <v>172.39999999999998</v>
      </c>
      <c r="J102" s="21">
        <f t="shared" si="25"/>
        <v>50</v>
      </c>
      <c r="K102" s="21">
        <f t="shared" si="25"/>
        <v>1005.0300000000002</v>
      </c>
      <c r="L102" s="21">
        <f t="shared" si="25"/>
        <v>237</v>
      </c>
      <c r="M102" s="21">
        <f t="shared" si="25"/>
        <v>3618.76</v>
      </c>
    </row>
    <row r="103" spans="1:18" x14ac:dyDescent="0.3">
      <c r="A103" s="7"/>
      <c r="B103" s="7"/>
      <c r="C103" s="7"/>
      <c r="D103" s="7"/>
      <c r="E103" s="7"/>
      <c r="F103" s="20" t="s">
        <v>19</v>
      </c>
      <c r="G103" s="21">
        <f t="shared" ref="G103:M103" si="26">G95+G93+G91+G87</f>
        <v>252.66</v>
      </c>
      <c r="H103" s="21">
        <f t="shared" si="26"/>
        <v>27.6</v>
      </c>
      <c r="I103" s="21">
        <f t="shared" si="26"/>
        <v>0</v>
      </c>
      <c r="J103" s="21">
        <f t="shared" si="26"/>
        <v>30</v>
      </c>
      <c r="K103" s="21">
        <f t="shared" si="26"/>
        <v>227.2</v>
      </c>
      <c r="L103" s="21">
        <f t="shared" si="26"/>
        <v>0</v>
      </c>
      <c r="M103" s="21">
        <f t="shared" si="26"/>
        <v>537.46</v>
      </c>
    </row>
    <row r="104" spans="1:18" x14ac:dyDescent="0.3">
      <c r="A104" s="7"/>
      <c r="B104" s="7"/>
      <c r="C104" s="7"/>
      <c r="D104" s="7"/>
      <c r="E104" s="7"/>
      <c r="F104" s="22" t="s">
        <v>20</v>
      </c>
      <c r="G104" s="23">
        <f>G102+G103</f>
        <v>662.29</v>
      </c>
      <c r="H104" s="23">
        <f t="shared" ref="H104:M104" si="27">H102+H103</f>
        <v>1772.3</v>
      </c>
      <c r="I104" s="23">
        <f t="shared" si="27"/>
        <v>172.39999999999998</v>
      </c>
      <c r="J104" s="23">
        <f t="shared" si="27"/>
        <v>80</v>
      </c>
      <c r="K104" s="23">
        <f t="shared" si="27"/>
        <v>1232.2300000000002</v>
      </c>
      <c r="L104" s="23">
        <f t="shared" si="27"/>
        <v>237</v>
      </c>
      <c r="M104" s="23">
        <f t="shared" si="27"/>
        <v>4156.22</v>
      </c>
      <c r="N104" s="25"/>
    </row>
    <row r="105" spans="1:18" x14ac:dyDescent="0.3">
      <c r="A105" s="7"/>
      <c r="B105" s="7"/>
      <c r="C105" s="7"/>
      <c r="D105" s="7"/>
      <c r="E105" s="7"/>
      <c r="F105" s="7"/>
      <c r="G105" s="9"/>
      <c r="H105" s="9"/>
      <c r="I105" s="9"/>
      <c r="J105" s="9"/>
      <c r="K105" s="9"/>
      <c r="L105" s="9"/>
      <c r="M105" s="9"/>
    </row>
    <row r="108" spans="1:18" x14ac:dyDescent="0.3">
      <c r="M108" s="1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2"/>
  <sheetViews>
    <sheetView zoomScale="85" zoomScaleNormal="85" workbookViewId="0">
      <pane xSplit="1" ySplit="2" topLeftCell="B30" activePane="bottomRight" state="frozen"/>
      <selection sqref="A1:XFD1048576"/>
      <selection pane="topRight" sqref="A1:XFD1048576"/>
      <selection pane="bottomLeft" sqref="A1:XFD1048576"/>
      <selection pane="bottomRight" activeCell="E49" sqref="E49"/>
    </sheetView>
  </sheetViews>
  <sheetFormatPr defaultColWidth="9.140625" defaultRowHeight="16.5" x14ac:dyDescent="0.3"/>
  <cols>
    <col min="1" max="1" width="13.42578125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2" width="9.140625" style="1"/>
    <col min="13" max="13" width="10" style="1" bestFit="1" customWidth="1"/>
    <col min="14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.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3" x14ac:dyDescent="0.3">
      <c r="A3" s="45"/>
      <c r="B3" s="35"/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48" t="s">
        <v>53</v>
      </c>
      <c r="B4" s="39"/>
      <c r="C4" s="41"/>
      <c r="D4" s="42"/>
      <c r="E4" s="43"/>
      <c r="F4" s="39"/>
      <c r="G4" s="44">
        <f t="shared" ref="G4:M4" si="0">SUM(G3:G3)</f>
        <v>0</v>
      </c>
      <c r="H4" s="44">
        <f t="shared" si="0"/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">
      <c r="A5" s="35"/>
      <c r="B5" s="35"/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>SUM(G5:L5)</f>
        <v>0</v>
      </c>
    </row>
    <row r="6" spans="1:13" x14ac:dyDescent="0.3">
      <c r="A6" s="48" t="s">
        <v>71</v>
      </c>
      <c r="B6" s="39"/>
      <c r="C6" s="41"/>
      <c r="D6" s="42"/>
      <c r="E6" s="43"/>
      <c r="F6" s="39"/>
      <c r="G6" s="44">
        <f t="shared" ref="G6:M6" si="1">SUM(G5:G5)</f>
        <v>0</v>
      </c>
      <c r="H6" s="44">
        <f t="shared" si="1"/>
        <v>0</v>
      </c>
      <c r="I6" s="44">
        <f t="shared" si="1"/>
        <v>0</v>
      </c>
      <c r="J6" s="44">
        <f t="shared" si="1"/>
        <v>0</v>
      </c>
      <c r="K6" s="44">
        <f t="shared" si="1"/>
        <v>0</v>
      </c>
      <c r="L6" s="44">
        <f t="shared" si="1"/>
        <v>0</v>
      </c>
      <c r="M6" s="44">
        <f t="shared" si="1"/>
        <v>0</v>
      </c>
    </row>
    <row r="7" spans="1:13" x14ac:dyDescent="0.3">
      <c r="A7" s="35" t="s">
        <v>104</v>
      </c>
      <c r="B7" s="35" t="s">
        <v>38</v>
      </c>
      <c r="C7" s="36">
        <v>44945</v>
      </c>
      <c r="D7" s="35" t="s">
        <v>106</v>
      </c>
      <c r="E7" s="36">
        <v>44937</v>
      </c>
      <c r="F7" s="37" t="s">
        <v>107</v>
      </c>
      <c r="G7" s="38"/>
      <c r="H7" s="38"/>
      <c r="I7" s="38"/>
      <c r="J7" s="38">
        <f>114.75</f>
        <v>114.75</v>
      </c>
      <c r="K7" s="38">
        <f>234+23.55</f>
        <v>257.55</v>
      </c>
      <c r="L7" s="38"/>
      <c r="M7" s="38">
        <f>SUM(G7:L7)</f>
        <v>372.3</v>
      </c>
    </row>
    <row r="8" spans="1:13" x14ac:dyDescent="0.3">
      <c r="A8" s="35" t="s">
        <v>104</v>
      </c>
      <c r="B8" s="35" t="s">
        <v>38</v>
      </c>
      <c r="C8" s="36">
        <v>44999</v>
      </c>
      <c r="D8" s="35" t="s">
        <v>99</v>
      </c>
      <c r="E8" s="36"/>
      <c r="F8" s="37"/>
      <c r="G8" s="38"/>
      <c r="H8" s="38"/>
      <c r="I8" s="38">
        <f>193.4</f>
        <v>193.4</v>
      </c>
      <c r="J8" s="38">
        <f>5.85+8.5</f>
        <v>14.35</v>
      </c>
      <c r="K8" s="38">
        <f>2.2</f>
        <v>2.2000000000000002</v>
      </c>
      <c r="L8" s="38"/>
      <c r="M8" s="38">
        <f>SUM(G8:L8)</f>
        <v>209.95</v>
      </c>
    </row>
    <row r="9" spans="1:13" x14ac:dyDescent="0.3">
      <c r="A9" s="48" t="s">
        <v>52</v>
      </c>
      <c r="B9" s="39"/>
      <c r="C9" s="41"/>
      <c r="D9" s="42"/>
      <c r="E9" s="43"/>
      <c r="F9" s="39"/>
      <c r="G9" s="44">
        <f>SUM(G7:G8)</f>
        <v>0</v>
      </c>
      <c r="H9" s="44">
        <f t="shared" ref="H9:M9" si="2">SUM(H7:H8)</f>
        <v>0</v>
      </c>
      <c r="I9" s="44">
        <f t="shared" si="2"/>
        <v>193.4</v>
      </c>
      <c r="J9" s="44">
        <f t="shared" si="2"/>
        <v>129.1</v>
      </c>
      <c r="K9" s="44">
        <f t="shared" si="2"/>
        <v>259.75</v>
      </c>
      <c r="L9" s="44">
        <f t="shared" si="2"/>
        <v>0</v>
      </c>
      <c r="M9" s="44">
        <f t="shared" si="2"/>
        <v>582.25</v>
      </c>
    </row>
    <row r="10" spans="1:13" x14ac:dyDescent="0.3">
      <c r="A10" s="35" t="s">
        <v>103</v>
      </c>
      <c r="B10" s="35" t="s">
        <v>38</v>
      </c>
      <c r="C10" s="36">
        <v>44999</v>
      </c>
      <c r="D10" s="35" t="s">
        <v>99</v>
      </c>
      <c r="E10" s="36">
        <v>44994</v>
      </c>
      <c r="F10" s="37" t="s">
        <v>39</v>
      </c>
      <c r="G10" s="38"/>
      <c r="H10" s="38"/>
      <c r="I10" s="38">
        <f>46.3</f>
        <v>46.3</v>
      </c>
      <c r="J10" s="38"/>
      <c r="K10" s="38"/>
      <c r="L10" s="38"/>
      <c r="M10" s="38">
        <f>SUM(G10:L10)</f>
        <v>46.3</v>
      </c>
    </row>
    <row r="11" spans="1:13" x14ac:dyDescent="0.3">
      <c r="A11" s="48" t="s">
        <v>50</v>
      </c>
      <c r="B11" s="39"/>
      <c r="C11" s="41"/>
      <c r="D11" s="42"/>
      <c r="E11" s="43"/>
      <c r="F11" s="39"/>
      <c r="G11" s="44">
        <f t="shared" ref="G11:M11" si="3">SUM(G10:G10)</f>
        <v>0</v>
      </c>
      <c r="H11" s="44">
        <f t="shared" si="3"/>
        <v>0</v>
      </c>
      <c r="I11" s="44">
        <f t="shared" si="3"/>
        <v>46.3</v>
      </c>
      <c r="J11" s="44">
        <f t="shared" si="3"/>
        <v>0</v>
      </c>
      <c r="K11" s="44">
        <f t="shared" si="3"/>
        <v>0</v>
      </c>
      <c r="L11" s="44">
        <f t="shared" si="3"/>
        <v>0</v>
      </c>
      <c r="M11" s="44">
        <f t="shared" si="3"/>
        <v>46.3</v>
      </c>
    </row>
    <row r="12" spans="1:13" x14ac:dyDescent="0.3">
      <c r="A12" s="35" t="s">
        <v>102</v>
      </c>
      <c r="B12" s="35" t="s">
        <v>38</v>
      </c>
      <c r="C12" s="36">
        <v>45002</v>
      </c>
      <c r="D12" s="35" t="s">
        <v>99</v>
      </c>
      <c r="E12" s="36">
        <v>44994</v>
      </c>
      <c r="F12" s="37" t="s">
        <v>39</v>
      </c>
      <c r="G12" s="38"/>
      <c r="H12" s="38"/>
      <c r="I12" s="38"/>
      <c r="J12" s="38">
        <f>177.3+8.2</f>
        <v>185.5</v>
      </c>
      <c r="K12" s="38">
        <v>120</v>
      </c>
      <c r="L12" s="38"/>
      <c r="M12" s="38">
        <f t="shared" ref="M12" si="4">SUM(G12:L12)</f>
        <v>305.5</v>
      </c>
    </row>
    <row r="13" spans="1:13" x14ac:dyDescent="0.3">
      <c r="A13" s="48" t="s">
        <v>55</v>
      </c>
      <c r="B13" s="39"/>
      <c r="C13" s="41"/>
      <c r="D13" s="42"/>
      <c r="E13" s="43"/>
      <c r="F13" s="39"/>
      <c r="G13" s="44">
        <f t="shared" ref="G13:M13" si="5">SUM(G12:G12)</f>
        <v>0</v>
      </c>
      <c r="H13" s="44">
        <f t="shared" si="5"/>
        <v>0</v>
      </c>
      <c r="I13" s="44">
        <f t="shared" si="5"/>
        <v>0</v>
      </c>
      <c r="J13" s="44">
        <f t="shared" si="5"/>
        <v>185.5</v>
      </c>
      <c r="K13" s="44">
        <f t="shared" si="5"/>
        <v>120</v>
      </c>
      <c r="L13" s="44">
        <f t="shared" si="5"/>
        <v>0</v>
      </c>
      <c r="M13" s="44">
        <f t="shared" si="5"/>
        <v>305.5</v>
      </c>
    </row>
    <row r="14" spans="1:13" x14ac:dyDescent="0.3">
      <c r="A14" s="35" t="s">
        <v>105</v>
      </c>
      <c r="B14" s="35" t="s">
        <v>38</v>
      </c>
      <c r="C14" s="36">
        <v>45055</v>
      </c>
      <c r="D14" s="35" t="s">
        <v>99</v>
      </c>
      <c r="E14" s="36">
        <v>44994</v>
      </c>
      <c r="F14" s="37" t="s">
        <v>39</v>
      </c>
      <c r="G14" s="38"/>
      <c r="H14" s="38"/>
      <c r="I14" s="38">
        <f>64.9</f>
        <v>64.900000000000006</v>
      </c>
      <c r="J14" s="38">
        <f>6.7</f>
        <v>6.7</v>
      </c>
      <c r="K14" s="38"/>
      <c r="L14" s="38"/>
      <c r="M14" s="38">
        <f t="shared" ref="M14" si="6">SUM(G14:L14)</f>
        <v>71.600000000000009</v>
      </c>
    </row>
    <row r="15" spans="1:13" x14ac:dyDescent="0.3">
      <c r="A15" s="48" t="s">
        <v>41</v>
      </c>
      <c r="B15" s="39"/>
      <c r="C15" s="41"/>
      <c r="D15" s="42"/>
      <c r="E15" s="43"/>
      <c r="F15" s="39"/>
      <c r="G15" s="44">
        <f t="shared" ref="G15:M15" si="7">SUM(G14:G14)</f>
        <v>0</v>
      </c>
      <c r="H15" s="44">
        <f t="shared" si="7"/>
        <v>0</v>
      </c>
      <c r="I15" s="44">
        <f t="shared" si="7"/>
        <v>64.900000000000006</v>
      </c>
      <c r="J15" s="44">
        <f t="shared" si="7"/>
        <v>6.7</v>
      </c>
      <c r="K15" s="44">
        <f t="shared" si="7"/>
        <v>0</v>
      </c>
      <c r="L15" s="44">
        <f t="shared" si="7"/>
        <v>0</v>
      </c>
      <c r="M15" s="44">
        <f t="shared" si="7"/>
        <v>71.600000000000009</v>
      </c>
    </row>
    <row r="16" spans="1:13" x14ac:dyDescent="0.3">
      <c r="A16" s="35" t="s">
        <v>100</v>
      </c>
      <c r="B16" s="35" t="s">
        <v>38</v>
      </c>
      <c r="C16" s="36">
        <v>45000</v>
      </c>
      <c r="D16" s="35" t="s">
        <v>101</v>
      </c>
      <c r="E16" s="36">
        <v>44994</v>
      </c>
      <c r="F16" s="37" t="s">
        <v>39</v>
      </c>
      <c r="G16" s="38"/>
      <c r="H16" s="38"/>
      <c r="I16" s="38">
        <f>50.65+6.2</f>
        <v>56.85</v>
      </c>
      <c r="J16" s="38"/>
      <c r="K16" s="38"/>
      <c r="L16" s="38"/>
      <c r="M16" s="38">
        <f t="shared" ref="M16:M68" si="8">SUM(G16:L16)</f>
        <v>56.85</v>
      </c>
    </row>
    <row r="17" spans="1:13" x14ac:dyDescent="0.3">
      <c r="A17" s="48" t="s">
        <v>73</v>
      </c>
      <c r="B17" s="39"/>
      <c r="C17" s="41"/>
      <c r="D17" s="42"/>
      <c r="E17" s="43"/>
      <c r="F17" s="39"/>
      <c r="G17" s="44">
        <f t="shared" ref="G17:M17" si="9">SUM(G16:G16)</f>
        <v>0</v>
      </c>
      <c r="H17" s="44">
        <f t="shared" si="9"/>
        <v>0</v>
      </c>
      <c r="I17" s="44">
        <f t="shared" si="9"/>
        <v>56.85</v>
      </c>
      <c r="J17" s="44">
        <f t="shared" si="9"/>
        <v>0</v>
      </c>
      <c r="K17" s="44">
        <f t="shared" si="9"/>
        <v>0</v>
      </c>
      <c r="L17" s="44">
        <f t="shared" si="9"/>
        <v>0</v>
      </c>
      <c r="M17" s="44">
        <f t="shared" si="9"/>
        <v>56.85</v>
      </c>
    </row>
    <row r="18" spans="1:13" x14ac:dyDescent="0.3">
      <c r="A18" s="35" t="s">
        <v>120</v>
      </c>
      <c r="B18" s="35" t="s">
        <v>63</v>
      </c>
      <c r="C18" s="36">
        <v>44960</v>
      </c>
      <c r="D18" s="35" t="s">
        <v>133</v>
      </c>
      <c r="E18" s="36">
        <v>44965</v>
      </c>
      <c r="F18" s="35" t="s">
        <v>39</v>
      </c>
      <c r="G18" s="38"/>
      <c r="H18" s="38"/>
      <c r="I18" s="38">
        <v>41.7</v>
      </c>
      <c r="J18" s="38"/>
      <c r="K18" s="38"/>
      <c r="L18" s="38"/>
      <c r="M18" s="38">
        <f t="shared" si="8"/>
        <v>41.7</v>
      </c>
    </row>
    <row r="19" spans="1:13" x14ac:dyDescent="0.3">
      <c r="A19" s="35" t="s">
        <v>120</v>
      </c>
      <c r="B19" s="35" t="s">
        <v>63</v>
      </c>
      <c r="C19" s="36">
        <v>44960</v>
      </c>
      <c r="D19" s="35" t="s">
        <v>134</v>
      </c>
      <c r="E19" s="36">
        <v>44981</v>
      </c>
      <c r="F19" s="35" t="s">
        <v>39</v>
      </c>
      <c r="G19" s="38"/>
      <c r="H19" s="38"/>
      <c r="I19" s="38">
        <v>41.7</v>
      </c>
      <c r="J19" s="38"/>
      <c r="K19" s="38"/>
      <c r="L19" s="38"/>
      <c r="M19" s="38">
        <f t="shared" si="8"/>
        <v>41.7</v>
      </c>
    </row>
    <row r="20" spans="1:13" x14ac:dyDescent="0.3">
      <c r="A20" s="35" t="s">
        <v>120</v>
      </c>
      <c r="B20" s="35" t="s">
        <v>63</v>
      </c>
      <c r="C20" s="36">
        <v>44984</v>
      </c>
      <c r="D20" s="35" t="s">
        <v>51</v>
      </c>
      <c r="E20" s="36">
        <v>44994</v>
      </c>
      <c r="F20" s="35" t="s">
        <v>39</v>
      </c>
      <c r="G20" s="38"/>
      <c r="H20" s="38"/>
      <c r="I20" s="38">
        <v>41.7</v>
      </c>
      <c r="J20" s="38"/>
      <c r="K20" s="38"/>
      <c r="L20" s="38"/>
      <c r="M20" s="38">
        <f t="shared" si="8"/>
        <v>41.7</v>
      </c>
    </row>
    <row r="21" spans="1:13" x14ac:dyDescent="0.3">
      <c r="A21" s="35" t="s">
        <v>120</v>
      </c>
      <c r="B21" s="35" t="s">
        <v>63</v>
      </c>
      <c r="C21" s="36">
        <v>44984</v>
      </c>
      <c r="D21" s="35" t="s">
        <v>116</v>
      </c>
      <c r="E21" s="36">
        <v>45013</v>
      </c>
      <c r="F21" s="35" t="s">
        <v>39</v>
      </c>
      <c r="G21" s="38"/>
      <c r="H21" s="38"/>
      <c r="I21" s="38">
        <v>41.7</v>
      </c>
      <c r="J21" s="38"/>
      <c r="K21" s="38"/>
      <c r="L21" s="38"/>
      <c r="M21" s="38">
        <f t="shared" si="8"/>
        <v>41.7</v>
      </c>
    </row>
    <row r="22" spans="1:13" x14ac:dyDescent="0.3">
      <c r="A22" s="35" t="s">
        <v>120</v>
      </c>
      <c r="B22" s="35" t="s">
        <v>63</v>
      </c>
      <c r="C22" s="36">
        <v>44984</v>
      </c>
      <c r="D22" s="35" t="s">
        <v>134</v>
      </c>
      <c r="E22" s="36">
        <v>45015</v>
      </c>
      <c r="F22" s="35" t="s">
        <v>39</v>
      </c>
      <c r="G22" s="38"/>
      <c r="H22" s="38"/>
      <c r="I22" s="38">
        <v>41.7</v>
      </c>
      <c r="J22" s="38"/>
      <c r="K22" s="38"/>
      <c r="L22" s="38"/>
      <c r="M22" s="38">
        <f t="shared" si="8"/>
        <v>41.7</v>
      </c>
    </row>
    <row r="23" spans="1:13" x14ac:dyDescent="0.3">
      <c r="A23" s="35" t="s">
        <v>120</v>
      </c>
      <c r="B23" s="35" t="s">
        <v>63</v>
      </c>
      <c r="C23" s="36">
        <v>45016</v>
      </c>
      <c r="D23" s="35" t="s">
        <v>116</v>
      </c>
      <c r="E23" s="36">
        <v>45042</v>
      </c>
      <c r="F23" s="35" t="s">
        <v>39</v>
      </c>
      <c r="G23" s="38"/>
      <c r="H23" s="38"/>
      <c r="I23" s="38">
        <v>37.5</v>
      </c>
      <c r="J23" s="38"/>
      <c r="K23" s="38"/>
      <c r="L23" s="38"/>
      <c r="M23" s="38">
        <f t="shared" si="8"/>
        <v>37.5</v>
      </c>
    </row>
    <row r="24" spans="1:13" x14ac:dyDescent="0.3">
      <c r="A24" s="48" t="s">
        <v>120</v>
      </c>
      <c r="B24" s="39"/>
      <c r="C24" s="41"/>
      <c r="D24" s="42"/>
      <c r="E24" s="43"/>
      <c r="F24" s="39"/>
      <c r="G24" s="44">
        <f t="shared" ref="G24:M24" si="10">SUM(G18:G23)</f>
        <v>0</v>
      </c>
      <c r="H24" s="44">
        <f t="shared" si="10"/>
        <v>0</v>
      </c>
      <c r="I24" s="44">
        <f t="shared" si="10"/>
        <v>246</v>
      </c>
      <c r="J24" s="44">
        <f t="shared" si="10"/>
        <v>0</v>
      </c>
      <c r="K24" s="44">
        <f t="shared" si="10"/>
        <v>0</v>
      </c>
      <c r="L24" s="44">
        <f t="shared" si="10"/>
        <v>0</v>
      </c>
      <c r="M24" s="44">
        <f t="shared" si="10"/>
        <v>246</v>
      </c>
    </row>
    <row r="25" spans="1:13" x14ac:dyDescent="0.3">
      <c r="A25" s="35" t="s">
        <v>110</v>
      </c>
      <c r="B25" s="35" t="s">
        <v>25</v>
      </c>
      <c r="C25" s="36">
        <v>44946</v>
      </c>
      <c r="D25" s="35" t="s">
        <v>111</v>
      </c>
      <c r="E25" s="36">
        <v>44917</v>
      </c>
      <c r="F25" s="35" t="s">
        <v>39</v>
      </c>
      <c r="G25" s="38"/>
      <c r="H25" s="38"/>
      <c r="I25" s="38">
        <v>7.9</v>
      </c>
      <c r="J25" s="38">
        <v>9.81</v>
      </c>
      <c r="K25" s="38">
        <v>22.35</v>
      </c>
      <c r="L25" s="38"/>
      <c r="M25" s="38">
        <f>SUM(G25:L25)</f>
        <v>40.06</v>
      </c>
    </row>
    <row r="26" spans="1:13" x14ac:dyDescent="0.3">
      <c r="A26" s="35" t="s">
        <v>110</v>
      </c>
      <c r="B26" s="35" t="s">
        <v>25</v>
      </c>
      <c r="C26" s="36">
        <v>44946</v>
      </c>
      <c r="D26" s="35" t="s">
        <v>112</v>
      </c>
      <c r="E26" s="36">
        <v>44896</v>
      </c>
      <c r="F26" s="35" t="s">
        <v>39</v>
      </c>
      <c r="G26" s="38"/>
      <c r="H26" s="38"/>
      <c r="I26" s="38">
        <v>7</v>
      </c>
      <c r="J26" s="38">
        <v>9.81</v>
      </c>
      <c r="K26" s="38">
        <v>34.44</v>
      </c>
      <c r="L26" s="38"/>
      <c r="M26" s="38">
        <f t="shared" ref="M26:M41" si="11">SUM(G26:L26)</f>
        <v>51.25</v>
      </c>
    </row>
    <row r="27" spans="1:13" x14ac:dyDescent="0.3">
      <c r="A27" s="35" t="s">
        <v>110</v>
      </c>
      <c r="B27" s="35" t="s">
        <v>25</v>
      </c>
      <c r="C27" s="36">
        <v>44946</v>
      </c>
      <c r="D27" s="35" t="s">
        <v>113</v>
      </c>
      <c r="E27" s="36">
        <v>44880</v>
      </c>
      <c r="F27" s="35" t="s">
        <v>43</v>
      </c>
      <c r="G27" s="38"/>
      <c r="H27" s="38"/>
      <c r="I27" s="38">
        <v>4.0999999999999996</v>
      </c>
      <c r="J27" s="38"/>
      <c r="K27" s="38"/>
      <c r="L27" s="38"/>
      <c r="M27" s="38">
        <f t="shared" si="11"/>
        <v>4.0999999999999996</v>
      </c>
    </row>
    <row r="28" spans="1:13" x14ac:dyDescent="0.3">
      <c r="A28" s="35" t="s">
        <v>110</v>
      </c>
      <c r="B28" s="35" t="s">
        <v>25</v>
      </c>
      <c r="C28" s="36">
        <v>44946</v>
      </c>
      <c r="D28" s="97" t="s">
        <v>114</v>
      </c>
      <c r="E28" s="36">
        <v>44886</v>
      </c>
      <c r="F28" s="35" t="s">
        <v>43</v>
      </c>
      <c r="G28" s="38"/>
      <c r="H28" s="38"/>
      <c r="I28" s="38">
        <v>4.0999999999999996</v>
      </c>
      <c r="J28" s="38">
        <v>6</v>
      </c>
      <c r="K28" s="38"/>
      <c r="L28" s="38"/>
      <c r="M28" s="38">
        <f t="shared" si="11"/>
        <v>10.1</v>
      </c>
    </row>
    <row r="29" spans="1:13" x14ac:dyDescent="0.3">
      <c r="A29" s="35" t="s">
        <v>110</v>
      </c>
      <c r="B29" s="35" t="s">
        <v>25</v>
      </c>
      <c r="C29" s="36">
        <v>44946</v>
      </c>
      <c r="D29" s="35" t="s">
        <v>115</v>
      </c>
      <c r="E29" s="36">
        <v>44890</v>
      </c>
      <c r="F29" s="35" t="s">
        <v>49</v>
      </c>
      <c r="G29" s="38"/>
      <c r="H29" s="38"/>
      <c r="I29" s="38">
        <v>4.5999999999999996</v>
      </c>
      <c r="J29" s="38">
        <f>36+9.81</f>
        <v>45.81</v>
      </c>
      <c r="K29" s="38">
        <v>12.14</v>
      </c>
      <c r="L29" s="38"/>
      <c r="M29" s="38">
        <f t="shared" si="11"/>
        <v>62.550000000000004</v>
      </c>
    </row>
    <row r="30" spans="1:13" x14ac:dyDescent="0.3">
      <c r="A30" s="35" t="s">
        <v>110</v>
      </c>
      <c r="B30" s="35" t="s">
        <v>25</v>
      </c>
      <c r="C30" s="36">
        <v>44946</v>
      </c>
      <c r="D30" s="35" t="s">
        <v>117</v>
      </c>
      <c r="E30" s="36">
        <v>44901</v>
      </c>
      <c r="F30" s="35" t="s">
        <v>39</v>
      </c>
      <c r="G30" s="38"/>
      <c r="H30" s="38"/>
      <c r="I30" s="38">
        <v>14.8</v>
      </c>
      <c r="J30" s="38">
        <v>9.81</v>
      </c>
      <c r="K30" s="38">
        <v>9.98</v>
      </c>
      <c r="L30" s="38"/>
      <c r="M30" s="38">
        <f t="shared" si="11"/>
        <v>34.590000000000003</v>
      </c>
    </row>
    <row r="31" spans="1:13" x14ac:dyDescent="0.3">
      <c r="A31" s="35" t="s">
        <v>110</v>
      </c>
      <c r="B31" s="35" t="s">
        <v>25</v>
      </c>
      <c r="C31" s="36">
        <v>44999</v>
      </c>
      <c r="D31" s="35" t="s">
        <v>116</v>
      </c>
      <c r="E31" s="36">
        <v>44964</v>
      </c>
      <c r="F31" s="35" t="s">
        <v>39</v>
      </c>
      <c r="G31" s="38"/>
      <c r="H31" s="38"/>
      <c r="I31" s="38">
        <v>14.6</v>
      </c>
      <c r="J31" s="38">
        <v>5.45</v>
      </c>
      <c r="K31" s="38">
        <v>32.83</v>
      </c>
      <c r="L31" s="38"/>
      <c r="M31" s="38">
        <f t="shared" si="11"/>
        <v>52.879999999999995</v>
      </c>
    </row>
    <row r="32" spans="1:13" x14ac:dyDescent="0.3">
      <c r="A32" s="35" t="s">
        <v>110</v>
      </c>
      <c r="B32" s="35" t="s">
        <v>25</v>
      </c>
      <c r="C32" s="36">
        <v>44999</v>
      </c>
      <c r="D32" s="35" t="s">
        <v>116</v>
      </c>
      <c r="E32" s="36">
        <v>44944</v>
      </c>
      <c r="F32" s="35" t="s">
        <v>39</v>
      </c>
      <c r="G32" s="38"/>
      <c r="H32" s="38"/>
      <c r="I32" s="38">
        <v>9.4</v>
      </c>
      <c r="J32" s="38">
        <v>9.81</v>
      </c>
      <c r="K32" s="38">
        <v>32.83</v>
      </c>
      <c r="L32" s="38"/>
      <c r="M32" s="38">
        <f t="shared" si="11"/>
        <v>52.04</v>
      </c>
    </row>
    <row r="33" spans="1:13" x14ac:dyDescent="0.3">
      <c r="A33" s="35" t="s">
        <v>110</v>
      </c>
      <c r="B33" s="35" t="s">
        <v>25</v>
      </c>
      <c r="C33" s="36">
        <v>44999</v>
      </c>
      <c r="D33" s="35" t="s">
        <v>118</v>
      </c>
      <c r="E33" s="36">
        <v>44958</v>
      </c>
      <c r="F33" s="35" t="s">
        <v>39</v>
      </c>
      <c r="G33" s="38"/>
      <c r="H33" s="38"/>
      <c r="I33" s="38">
        <v>8.8000000000000007</v>
      </c>
      <c r="J33" s="38">
        <v>9.81</v>
      </c>
      <c r="K33" s="38">
        <v>28.27</v>
      </c>
      <c r="L33" s="38"/>
      <c r="M33" s="38">
        <f t="shared" si="11"/>
        <v>46.879999999999995</v>
      </c>
    </row>
    <row r="34" spans="1:13" x14ac:dyDescent="0.3">
      <c r="A34" s="35" t="s">
        <v>110</v>
      </c>
      <c r="B34" s="35" t="s">
        <v>25</v>
      </c>
      <c r="C34" s="36">
        <v>44999</v>
      </c>
      <c r="D34" s="35" t="s">
        <v>118</v>
      </c>
      <c r="E34" s="36">
        <v>44980</v>
      </c>
      <c r="F34" s="35" t="s">
        <v>39</v>
      </c>
      <c r="G34" s="38">
        <v>254.24</v>
      </c>
      <c r="H34" s="38"/>
      <c r="I34" s="38">
        <v>8.6</v>
      </c>
      <c r="J34" s="38">
        <v>9.81</v>
      </c>
      <c r="K34" s="38">
        <f>31.74+91</f>
        <v>122.74</v>
      </c>
      <c r="L34" s="38">
        <v>57.13</v>
      </c>
      <c r="M34" s="38">
        <f t="shared" si="11"/>
        <v>452.52000000000004</v>
      </c>
    </row>
    <row r="35" spans="1:13" x14ac:dyDescent="0.3">
      <c r="A35" s="35" t="s">
        <v>110</v>
      </c>
      <c r="B35" s="35" t="s">
        <v>25</v>
      </c>
      <c r="C35" s="36">
        <v>44939</v>
      </c>
      <c r="D35" s="35" t="s">
        <v>138</v>
      </c>
      <c r="E35" s="36">
        <v>44958</v>
      </c>
      <c r="F35" s="35" t="s">
        <v>39</v>
      </c>
      <c r="G35" s="38">
        <v>294.61</v>
      </c>
      <c r="H35" s="38"/>
      <c r="I35" s="38"/>
      <c r="J35" s="38"/>
      <c r="K35" s="38">
        <v>228.1</v>
      </c>
      <c r="L35" s="38">
        <v>65.13</v>
      </c>
      <c r="M35" s="38">
        <f t="shared" si="11"/>
        <v>587.84</v>
      </c>
    </row>
    <row r="36" spans="1:13" x14ac:dyDescent="0.3">
      <c r="A36" s="35" t="s">
        <v>110</v>
      </c>
      <c r="B36" s="35" t="s">
        <v>25</v>
      </c>
      <c r="C36" s="36">
        <v>44950</v>
      </c>
      <c r="D36" s="35" t="s">
        <v>116</v>
      </c>
      <c r="E36" s="36">
        <v>44964</v>
      </c>
      <c r="F36" s="35" t="s">
        <v>39</v>
      </c>
      <c r="G36" s="38">
        <f>294.61+136.28</f>
        <v>430.89</v>
      </c>
      <c r="H36" s="38"/>
      <c r="I36" s="38"/>
      <c r="J36" s="38"/>
      <c r="K36" s="38">
        <v>91</v>
      </c>
      <c r="L36" s="38">
        <f>57.13+57.39</f>
        <v>114.52000000000001</v>
      </c>
      <c r="M36" s="38">
        <f t="shared" si="11"/>
        <v>636.41</v>
      </c>
    </row>
    <row r="37" spans="1:13" x14ac:dyDescent="0.3">
      <c r="A37" s="35" t="s">
        <v>110</v>
      </c>
      <c r="B37" s="35" t="s">
        <v>25</v>
      </c>
      <c r="C37" s="36">
        <v>44945</v>
      </c>
      <c r="D37" s="35" t="s">
        <v>135</v>
      </c>
      <c r="E37" s="36">
        <v>44944</v>
      </c>
      <c r="F37" s="35" t="s">
        <v>39</v>
      </c>
      <c r="G37" s="38"/>
      <c r="H37" s="38"/>
      <c r="I37" s="38"/>
      <c r="J37" s="38"/>
      <c r="K37" s="38">
        <v>115.95</v>
      </c>
      <c r="L37" s="38"/>
      <c r="M37" s="38">
        <f t="shared" si="11"/>
        <v>115.95</v>
      </c>
    </row>
    <row r="38" spans="1:13" x14ac:dyDescent="0.3">
      <c r="A38" s="35" t="s">
        <v>110</v>
      </c>
      <c r="B38" s="35" t="s">
        <v>25</v>
      </c>
      <c r="C38" s="36">
        <v>44966</v>
      </c>
      <c r="D38" s="35" t="s">
        <v>128</v>
      </c>
      <c r="E38" s="36">
        <v>44985</v>
      </c>
      <c r="F38" s="35" t="s">
        <v>127</v>
      </c>
      <c r="G38" s="38">
        <f>229.81+245.15</f>
        <v>474.96000000000004</v>
      </c>
      <c r="H38" s="38"/>
      <c r="I38" s="38"/>
      <c r="J38" s="38"/>
      <c r="K38" s="38">
        <v>160</v>
      </c>
      <c r="L38" s="38"/>
      <c r="M38" s="38">
        <f t="shared" si="11"/>
        <v>634.96</v>
      </c>
    </row>
    <row r="39" spans="1:13" x14ac:dyDescent="0.3">
      <c r="A39" s="35" t="s">
        <v>110</v>
      </c>
      <c r="B39" s="35" t="s">
        <v>25</v>
      </c>
      <c r="C39" s="36">
        <v>44966</v>
      </c>
      <c r="D39" s="35" t="s">
        <v>51</v>
      </c>
      <c r="E39" s="36">
        <v>44994</v>
      </c>
      <c r="F39" s="35" t="s">
        <v>39</v>
      </c>
      <c r="G39" s="38">
        <v>233.24</v>
      </c>
      <c r="H39" s="38"/>
      <c r="I39" s="38"/>
      <c r="J39" s="38"/>
      <c r="K39" s="38">
        <v>93</v>
      </c>
      <c r="L39" s="38"/>
      <c r="M39" s="38">
        <f t="shared" si="11"/>
        <v>326.24</v>
      </c>
    </row>
    <row r="40" spans="1:13" x14ac:dyDescent="0.3">
      <c r="A40" s="35" t="s">
        <v>110</v>
      </c>
      <c r="B40" s="35" t="s">
        <v>25</v>
      </c>
      <c r="C40" s="36">
        <v>45002</v>
      </c>
      <c r="D40" s="35" t="s">
        <v>116</v>
      </c>
      <c r="E40" s="36">
        <v>45013</v>
      </c>
      <c r="F40" s="35" t="s">
        <v>39</v>
      </c>
      <c r="G40" s="38">
        <f>484.91+142.77</f>
        <v>627.68000000000006</v>
      </c>
      <c r="H40" s="38"/>
      <c r="I40" s="38"/>
      <c r="J40" s="38"/>
      <c r="K40" s="38">
        <v>305.05</v>
      </c>
      <c r="L40" s="38">
        <v>54.13</v>
      </c>
      <c r="M40" s="38">
        <f t="shared" si="11"/>
        <v>986.86</v>
      </c>
    </row>
    <row r="41" spans="1:13" x14ac:dyDescent="0.3">
      <c r="A41" s="35" t="s">
        <v>110</v>
      </c>
      <c r="B41" s="35" t="s">
        <v>25</v>
      </c>
      <c r="C41" s="36"/>
      <c r="D41" s="35"/>
      <c r="E41" s="36"/>
      <c r="F41" s="35"/>
      <c r="G41" s="38"/>
      <c r="H41" s="38"/>
      <c r="I41" s="38"/>
      <c r="J41" s="38"/>
      <c r="K41" s="38"/>
      <c r="L41" s="38"/>
      <c r="M41" s="38">
        <f t="shared" si="11"/>
        <v>0</v>
      </c>
    </row>
    <row r="42" spans="1:13" x14ac:dyDescent="0.3">
      <c r="A42" s="48" t="s">
        <v>110</v>
      </c>
      <c r="B42" s="39"/>
      <c r="C42" s="41"/>
      <c r="D42" s="42"/>
      <c r="E42" s="43"/>
      <c r="F42" s="39"/>
      <c r="G42" s="44">
        <f t="shared" ref="G42:M42" si="12">SUM(G25:G41)</f>
        <v>2315.62</v>
      </c>
      <c r="H42" s="44">
        <f t="shared" si="12"/>
        <v>0</v>
      </c>
      <c r="I42" s="44">
        <f t="shared" si="12"/>
        <v>83.899999999999991</v>
      </c>
      <c r="J42" s="44">
        <f t="shared" si="12"/>
        <v>116.12000000000002</v>
      </c>
      <c r="K42" s="44">
        <f t="shared" si="12"/>
        <v>1288.68</v>
      </c>
      <c r="L42" s="44">
        <f t="shared" si="12"/>
        <v>290.91000000000003</v>
      </c>
      <c r="M42" s="44">
        <f t="shared" si="12"/>
        <v>4095.23</v>
      </c>
    </row>
    <row r="43" spans="1:13" x14ac:dyDescent="0.3">
      <c r="A43" s="35" t="s">
        <v>119</v>
      </c>
      <c r="B43" s="35" t="s">
        <v>37</v>
      </c>
      <c r="C43" s="36">
        <v>44984</v>
      </c>
      <c r="D43" s="35" t="s">
        <v>121</v>
      </c>
      <c r="E43" s="36">
        <v>44964</v>
      </c>
      <c r="F43" s="37" t="s">
        <v>39</v>
      </c>
      <c r="G43" s="38"/>
      <c r="H43" s="38"/>
      <c r="I43" s="38"/>
      <c r="J43" s="38"/>
      <c r="K43" s="38">
        <v>40.28</v>
      </c>
      <c r="L43" s="38"/>
      <c r="M43" s="38">
        <f t="shared" si="8"/>
        <v>40.28</v>
      </c>
    </row>
    <row r="44" spans="1:13" x14ac:dyDescent="0.3">
      <c r="A44" s="35" t="s">
        <v>119</v>
      </c>
      <c r="B44" s="35" t="s">
        <v>37</v>
      </c>
      <c r="C44" s="36">
        <v>44986</v>
      </c>
      <c r="D44" s="35" t="s">
        <v>122</v>
      </c>
      <c r="E44" s="36">
        <v>44979</v>
      </c>
      <c r="F44" s="37" t="s">
        <v>39</v>
      </c>
      <c r="G44" s="38"/>
      <c r="H44" s="38"/>
      <c r="I44" s="38">
        <f>6.4+151.2</f>
        <v>157.6</v>
      </c>
      <c r="J44" s="38"/>
      <c r="K44" s="38">
        <f>27.5+260</f>
        <v>287.5</v>
      </c>
      <c r="L44" s="38"/>
      <c r="M44" s="38">
        <f t="shared" si="8"/>
        <v>445.1</v>
      </c>
    </row>
    <row r="45" spans="1:13" x14ac:dyDescent="0.3">
      <c r="A45" s="35" t="s">
        <v>119</v>
      </c>
      <c r="B45" s="35" t="s">
        <v>37</v>
      </c>
      <c r="C45" s="36">
        <v>44998</v>
      </c>
      <c r="D45" s="35" t="s">
        <v>123</v>
      </c>
      <c r="E45" s="36">
        <v>44981</v>
      </c>
      <c r="F45" s="37" t="s">
        <v>39</v>
      </c>
      <c r="G45" s="38"/>
      <c r="H45" s="38"/>
      <c r="I45" s="38">
        <v>6.4</v>
      </c>
      <c r="J45" s="38"/>
      <c r="K45" s="38">
        <v>27.5</v>
      </c>
      <c r="L45" s="38"/>
      <c r="M45" s="38">
        <f t="shared" si="8"/>
        <v>33.9</v>
      </c>
    </row>
    <row r="46" spans="1:13" x14ac:dyDescent="0.3">
      <c r="A46" s="35" t="s">
        <v>119</v>
      </c>
      <c r="B46" s="35" t="s">
        <v>37</v>
      </c>
      <c r="C46" s="36">
        <v>45008</v>
      </c>
      <c r="D46" s="35" t="s">
        <v>51</v>
      </c>
      <c r="E46" s="36">
        <v>44994</v>
      </c>
      <c r="F46" s="37" t="s">
        <v>39</v>
      </c>
      <c r="G46" s="38"/>
      <c r="H46" s="38"/>
      <c r="I46" s="38"/>
      <c r="J46" s="38"/>
      <c r="K46" s="38">
        <v>19.45</v>
      </c>
      <c r="L46" s="38"/>
      <c r="M46" s="38">
        <f t="shared" si="8"/>
        <v>19.45</v>
      </c>
    </row>
    <row r="47" spans="1:13" x14ac:dyDescent="0.3">
      <c r="A47" s="35" t="s">
        <v>119</v>
      </c>
      <c r="B47" s="35" t="s">
        <v>37</v>
      </c>
      <c r="C47" s="36">
        <v>45014</v>
      </c>
      <c r="D47" s="35" t="s">
        <v>116</v>
      </c>
      <c r="E47" s="36">
        <v>45013</v>
      </c>
      <c r="F47" s="37" t="s">
        <v>39</v>
      </c>
      <c r="G47" s="38"/>
      <c r="H47" s="38"/>
      <c r="I47" s="38"/>
      <c r="J47" s="38"/>
      <c r="K47" s="38">
        <v>23.75</v>
      </c>
      <c r="L47" s="38"/>
      <c r="M47" s="38">
        <f t="shared" si="8"/>
        <v>23.75</v>
      </c>
    </row>
    <row r="48" spans="1:13" x14ac:dyDescent="0.3">
      <c r="A48" s="35" t="s">
        <v>119</v>
      </c>
      <c r="B48" s="35" t="s">
        <v>37</v>
      </c>
      <c r="C48" s="36">
        <v>45016</v>
      </c>
      <c r="D48" s="35" t="s">
        <v>124</v>
      </c>
      <c r="E48" s="36">
        <v>45016</v>
      </c>
      <c r="F48" s="37" t="s">
        <v>125</v>
      </c>
      <c r="G48" s="38"/>
      <c r="H48" s="38"/>
      <c r="I48" s="38"/>
      <c r="J48" s="38"/>
      <c r="K48" s="38"/>
      <c r="L48" s="38">
        <v>11.99</v>
      </c>
      <c r="M48" s="38">
        <f t="shared" si="8"/>
        <v>11.99</v>
      </c>
    </row>
    <row r="49" spans="1:13" x14ac:dyDescent="0.3">
      <c r="A49" s="35" t="s">
        <v>119</v>
      </c>
      <c r="B49" s="35" t="s">
        <v>37</v>
      </c>
      <c r="C49" s="36">
        <v>45016</v>
      </c>
      <c r="D49" s="35" t="s">
        <v>126</v>
      </c>
      <c r="E49" s="36">
        <v>45016</v>
      </c>
      <c r="F49" s="37" t="s">
        <v>125</v>
      </c>
      <c r="G49" s="38"/>
      <c r="H49" s="38"/>
      <c r="I49" s="38"/>
      <c r="J49" s="38"/>
      <c r="K49" s="38"/>
      <c r="L49" s="38">
        <v>26.34</v>
      </c>
      <c r="M49" s="38">
        <f t="shared" si="8"/>
        <v>26.34</v>
      </c>
    </row>
    <row r="50" spans="1:13" x14ac:dyDescent="0.3">
      <c r="A50" s="35" t="s">
        <v>119</v>
      </c>
      <c r="B50" s="35" t="s">
        <v>37</v>
      </c>
      <c r="C50" s="36">
        <v>44932</v>
      </c>
      <c r="D50" s="35" t="s">
        <v>135</v>
      </c>
      <c r="E50" s="36">
        <v>44944</v>
      </c>
      <c r="F50" s="37" t="s">
        <v>39</v>
      </c>
      <c r="G50" s="38"/>
      <c r="H50" s="38"/>
      <c r="I50" s="38">
        <f>125.8-66+9.2</f>
        <v>69</v>
      </c>
      <c r="J50" s="38"/>
      <c r="K50" s="38"/>
      <c r="L50" s="38"/>
      <c r="M50" s="38">
        <f t="shared" si="8"/>
        <v>69</v>
      </c>
    </row>
    <row r="51" spans="1:13" x14ac:dyDescent="0.3">
      <c r="A51" s="35" t="s">
        <v>119</v>
      </c>
      <c r="B51" s="35" t="s">
        <v>37</v>
      </c>
      <c r="C51" s="36">
        <v>44951</v>
      </c>
      <c r="D51" s="35" t="s">
        <v>133</v>
      </c>
      <c r="E51" s="36">
        <v>44964</v>
      </c>
      <c r="F51" s="37" t="s">
        <v>39</v>
      </c>
      <c r="G51" s="38"/>
      <c r="H51" s="38"/>
      <c r="I51" s="38">
        <f>400.2-385.2+9.2</f>
        <v>24.2</v>
      </c>
      <c r="J51" s="38"/>
      <c r="K51" s="38">
        <f>84.45+168.9</f>
        <v>253.35000000000002</v>
      </c>
      <c r="L51" s="38"/>
      <c r="M51" s="38">
        <f t="shared" si="8"/>
        <v>277.55</v>
      </c>
    </row>
    <row r="52" spans="1:13" x14ac:dyDescent="0.3">
      <c r="A52" s="35" t="s">
        <v>119</v>
      </c>
      <c r="B52" s="35" t="s">
        <v>37</v>
      </c>
      <c r="C52" s="36">
        <v>44953</v>
      </c>
      <c r="D52" s="35" t="s">
        <v>133</v>
      </c>
      <c r="E52" s="36">
        <v>44963</v>
      </c>
      <c r="F52" s="37" t="s">
        <v>39</v>
      </c>
      <c r="G52" s="38"/>
      <c r="H52" s="38"/>
      <c r="I52" s="38">
        <f>271.1+9.2</f>
        <v>280.3</v>
      </c>
      <c r="J52" s="38"/>
      <c r="K52" s="38"/>
      <c r="L52" s="38"/>
      <c r="M52" s="38">
        <f t="shared" si="8"/>
        <v>280.3</v>
      </c>
    </row>
    <row r="53" spans="1:13" x14ac:dyDescent="0.3">
      <c r="A53" s="35" t="s">
        <v>119</v>
      </c>
      <c r="B53" s="35" t="s">
        <v>37</v>
      </c>
      <c r="C53" s="36">
        <v>44985</v>
      </c>
      <c r="D53" s="35" t="s">
        <v>128</v>
      </c>
      <c r="E53" s="36">
        <v>44985</v>
      </c>
      <c r="F53" s="37" t="s">
        <v>127</v>
      </c>
      <c r="G53" s="38"/>
      <c r="H53" s="38"/>
      <c r="I53" s="38">
        <v>137.4</v>
      </c>
      <c r="J53" s="38"/>
      <c r="K53" s="38">
        <v>119.72</v>
      </c>
      <c r="L53" s="38"/>
      <c r="M53" s="38">
        <f t="shared" si="8"/>
        <v>257.12</v>
      </c>
    </row>
    <row r="54" spans="1:13" x14ac:dyDescent="0.3">
      <c r="A54" s="35" t="s">
        <v>119</v>
      </c>
      <c r="B54" s="35" t="s">
        <v>37</v>
      </c>
      <c r="C54" s="36">
        <v>44974</v>
      </c>
      <c r="D54" s="35" t="s">
        <v>139</v>
      </c>
      <c r="E54" s="36">
        <v>45001</v>
      </c>
      <c r="F54" s="37" t="s">
        <v>132</v>
      </c>
      <c r="G54" s="38"/>
      <c r="H54" s="38"/>
      <c r="I54" s="38">
        <v>112</v>
      </c>
      <c r="J54" s="38"/>
      <c r="K54" s="38"/>
      <c r="L54" s="38"/>
      <c r="M54" s="38">
        <f t="shared" si="8"/>
        <v>112</v>
      </c>
    </row>
    <row r="55" spans="1:13" x14ac:dyDescent="0.3">
      <c r="A55" s="35" t="s">
        <v>119</v>
      </c>
      <c r="B55" s="35" t="s">
        <v>37</v>
      </c>
      <c r="C55" s="36">
        <v>44984</v>
      </c>
      <c r="D55" s="35" t="s">
        <v>51</v>
      </c>
      <c r="E55" s="36">
        <v>44994</v>
      </c>
      <c r="F55" s="37" t="s">
        <v>39</v>
      </c>
      <c r="G55" s="38"/>
      <c r="H55" s="38"/>
      <c r="I55" s="38">
        <f>9.2+271.1</f>
        <v>280.3</v>
      </c>
      <c r="J55" s="38"/>
      <c r="K55" s="38">
        <v>130</v>
      </c>
      <c r="L55" s="38"/>
      <c r="M55" s="38">
        <f t="shared" si="8"/>
        <v>410.3</v>
      </c>
    </row>
    <row r="56" spans="1:13" x14ac:dyDescent="0.3">
      <c r="A56" s="35" t="s">
        <v>119</v>
      </c>
      <c r="B56" s="35" t="s">
        <v>37</v>
      </c>
      <c r="C56" s="36">
        <v>44984</v>
      </c>
      <c r="D56" s="35" t="s">
        <v>137</v>
      </c>
      <c r="E56" s="36">
        <v>44987</v>
      </c>
      <c r="F56" s="37" t="s">
        <v>39</v>
      </c>
      <c r="G56" s="38"/>
      <c r="H56" s="38"/>
      <c r="I56" s="38">
        <v>60.5</v>
      </c>
      <c r="J56" s="38"/>
      <c r="K56" s="38"/>
      <c r="L56" s="38"/>
      <c r="M56" s="38">
        <f t="shared" si="8"/>
        <v>60.5</v>
      </c>
    </row>
    <row r="57" spans="1:13" x14ac:dyDescent="0.3">
      <c r="A57" s="35" t="s">
        <v>119</v>
      </c>
      <c r="B57" s="35" t="s">
        <v>37</v>
      </c>
      <c r="C57" s="36">
        <v>45005</v>
      </c>
      <c r="D57" s="35" t="s">
        <v>116</v>
      </c>
      <c r="E57" s="36">
        <v>45013</v>
      </c>
      <c r="F57" s="37" t="s">
        <v>39</v>
      </c>
      <c r="G57" s="38"/>
      <c r="H57" s="38"/>
      <c r="I57" s="38">
        <v>400.2</v>
      </c>
      <c r="J57" s="38"/>
      <c r="K57" s="38">
        <v>130</v>
      </c>
      <c r="L57" s="38"/>
      <c r="M57" s="38">
        <f t="shared" si="8"/>
        <v>530.20000000000005</v>
      </c>
    </row>
    <row r="58" spans="1:13" x14ac:dyDescent="0.3">
      <c r="A58" s="48" t="s">
        <v>119</v>
      </c>
      <c r="B58" s="39"/>
      <c r="C58" s="41"/>
      <c r="D58" s="42"/>
      <c r="E58" s="43"/>
      <c r="F58" s="39"/>
      <c r="G58" s="44">
        <f t="shared" ref="G58:M58" si="13">SUM(G43:G57)</f>
        <v>0</v>
      </c>
      <c r="H58" s="44">
        <f t="shared" si="13"/>
        <v>0</v>
      </c>
      <c r="I58" s="44">
        <f t="shared" si="13"/>
        <v>1527.9</v>
      </c>
      <c r="J58" s="44">
        <f t="shared" si="13"/>
        <v>0</v>
      </c>
      <c r="K58" s="44">
        <f t="shared" si="13"/>
        <v>1031.55</v>
      </c>
      <c r="L58" s="44">
        <f t="shared" si="13"/>
        <v>38.33</v>
      </c>
      <c r="M58" s="44">
        <f t="shared" si="13"/>
        <v>2597.7799999999997</v>
      </c>
    </row>
    <row r="59" spans="1:13" x14ac:dyDescent="0.3">
      <c r="A59" s="35" t="s">
        <v>129</v>
      </c>
      <c r="B59" s="35" t="s">
        <v>130</v>
      </c>
      <c r="C59" s="36">
        <v>44936</v>
      </c>
      <c r="D59" s="35" t="s">
        <v>136</v>
      </c>
      <c r="E59" s="36">
        <v>44937</v>
      </c>
      <c r="F59" s="37" t="s">
        <v>39</v>
      </c>
      <c r="G59" s="37"/>
      <c r="H59" s="38"/>
      <c r="I59" s="38">
        <v>85.6</v>
      </c>
      <c r="J59" s="38"/>
      <c r="K59" s="38"/>
      <c r="L59" s="38"/>
      <c r="M59" s="38">
        <f t="shared" ref="M59:M64" si="14">SUM(G59:L59)</f>
        <v>85.6</v>
      </c>
    </row>
    <row r="60" spans="1:13" x14ac:dyDescent="0.3">
      <c r="A60" s="35" t="s">
        <v>129</v>
      </c>
      <c r="B60" s="35" t="s">
        <v>130</v>
      </c>
      <c r="C60" s="36">
        <v>44942</v>
      </c>
      <c r="D60" s="35" t="s">
        <v>135</v>
      </c>
      <c r="E60" s="36">
        <v>44944</v>
      </c>
      <c r="F60" s="37" t="s">
        <v>39</v>
      </c>
      <c r="G60" s="37"/>
      <c r="H60" s="38"/>
      <c r="I60" s="38">
        <v>85.6</v>
      </c>
      <c r="J60" s="38"/>
      <c r="K60" s="38"/>
      <c r="L60" s="38"/>
      <c r="M60" s="38">
        <f t="shared" si="14"/>
        <v>85.6</v>
      </c>
    </row>
    <row r="61" spans="1:13" x14ac:dyDescent="0.3">
      <c r="A61" s="35" t="s">
        <v>129</v>
      </c>
      <c r="B61" s="35" t="s">
        <v>130</v>
      </c>
      <c r="C61" s="36">
        <v>44964</v>
      </c>
      <c r="D61" s="35" t="s">
        <v>133</v>
      </c>
      <c r="E61" s="36">
        <v>44965</v>
      </c>
      <c r="F61" s="37" t="s">
        <v>39</v>
      </c>
      <c r="G61" s="37"/>
      <c r="H61" s="38"/>
      <c r="I61" s="38">
        <f>85.6-80.6</f>
        <v>5</v>
      </c>
      <c r="J61" s="38"/>
      <c r="K61" s="38"/>
      <c r="L61" s="38"/>
      <c r="M61" s="38">
        <f t="shared" si="14"/>
        <v>5</v>
      </c>
    </row>
    <row r="62" spans="1:13" x14ac:dyDescent="0.3">
      <c r="A62" s="35" t="s">
        <v>129</v>
      </c>
      <c r="B62" s="35" t="s">
        <v>130</v>
      </c>
      <c r="C62" s="36">
        <v>44979</v>
      </c>
      <c r="D62" s="35" t="s">
        <v>134</v>
      </c>
      <c r="E62" s="36">
        <v>44981</v>
      </c>
      <c r="F62" s="37" t="s">
        <v>39</v>
      </c>
      <c r="G62" s="37"/>
      <c r="H62" s="38"/>
      <c r="I62" s="38">
        <v>85.6</v>
      </c>
      <c r="J62" s="38"/>
      <c r="K62" s="38"/>
      <c r="L62" s="38"/>
      <c r="M62" s="38">
        <f t="shared" si="14"/>
        <v>85.6</v>
      </c>
    </row>
    <row r="63" spans="1:13" x14ac:dyDescent="0.3">
      <c r="A63" s="35" t="s">
        <v>129</v>
      </c>
      <c r="B63" s="35" t="s">
        <v>130</v>
      </c>
      <c r="C63" s="36">
        <v>44993</v>
      </c>
      <c r="D63" s="35" t="s">
        <v>131</v>
      </c>
      <c r="E63" s="36">
        <v>44994</v>
      </c>
      <c r="F63" s="37" t="s">
        <v>39</v>
      </c>
      <c r="G63" s="37"/>
      <c r="H63" s="38"/>
      <c r="I63" s="38">
        <v>90.7</v>
      </c>
      <c r="J63" s="38"/>
      <c r="K63" s="38"/>
      <c r="L63" s="38"/>
      <c r="M63" s="38">
        <f t="shared" si="14"/>
        <v>90.7</v>
      </c>
    </row>
    <row r="64" spans="1:13" x14ac:dyDescent="0.3">
      <c r="A64" s="35" t="s">
        <v>129</v>
      </c>
      <c r="B64" s="35" t="s">
        <v>130</v>
      </c>
      <c r="C64" s="36">
        <v>45007</v>
      </c>
      <c r="D64" s="35" t="s">
        <v>116</v>
      </c>
      <c r="E64" s="36">
        <v>45013</v>
      </c>
      <c r="F64" s="37" t="s">
        <v>39</v>
      </c>
      <c r="G64" s="37"/>
      <c r="H64" s="38"/>
      <c r="I64" s="38">
        <v>90.7</v>
      </c>
      <c r="J64" s="38"/>
      <c r="K64" s="38"/>
      <c r="L64" s="38"/>
      <c r="M64" s="38">
        <f t="shared" si="14"/>
        <v>90.7</v>
      </c>
    </row>
    <row r="65" spans="1:18" x14ac:dyDescent="0.3">
      <c r="A65" s="35" t="s">
        <v>129</v>
      </c>
      <c r="B65" s="35" t="s">
        <v>130</v>
      </c>
      <c r="C65" s="36"/>
      <c r="D65" s="35"/>
      <c r="E65" s="36"/>
      <c r="F65" s="37"/>
      <c r="G65" s="37"/>
      <c r="H65" s="38"/>
      <c r="I65" s="38"/>
      <c r="J65" s="38"/>
      <c r="K65" s="38"/>
      <c r="L65" s="38"/>
      <c r="M65" s="38">
        <f t="shared" si="8"/>
        <v>0</v>
      </c>
    </row>
    <row r="66" spans="1:18" x14ac:dyDescent="0.3">
      <c r="A66" s="48" t="s">
        <v>29</v>
      </c>
      <c r="B66" s="39"/>
      <c r="C66" s="41"/>
      <c r="D66" s="42"/>
      <c r="E66" s="43"/>
      <c r="F66" s="39"/>
      <c r="G66" s="44">
        <f t="shared" ref="G66:L66" si="15">SUM(G59:G65)</f>
        <v>0</v>
      </c>
      <c r="H66" s="44">
        <f t="shared" si="15"/>
        <v>0</v>
      </c>
      <c r="I66" s="44">
        <f t="shared" si="15"/>
        <v>443.19999999999993</v>
      </c>
      <c r="J66" s="44">
        <f t="shared" si="15"/>
        <v>0</v>
      </c>
      <c r="K66" s="44">
        <f t="shared" si="15"/>
        <v>0</v>
      </c>
      <c r="L66" s="44">
        <f t="shared" si="15"/>
        <v>0</v>
      </c>
      <c r="M66" s="44">
        <f>SUM(M59:M65)</f>
        <v>443.19999999999993</v>
      </c>
    </row>
    <row r="67" spans="1:18" x14ac:dyDescent="0.3">
      <c r="A67" s="35"/>
      <c r="B67" s="35"/>
      <c r="C67" s="36"/>
      <c r="D67" s="35"/>
      <c r="E67" s="36"/>
      <c r="F67" s="37"/>
      <c r="G67" s="38"/>
      <c r="H67" s="38"/>
      <c r="I67" s="38"/>
      <c r="J67" s="38"/>
      <c r="K67" s="38"/>
      <c r="L67" s="38"/>
      <c r="M67" s="38">
        <f t="shared" si="8"/>
        <v>0</v>
      </c>
    </row>
    <row r="68" spans="1:18" x14ac:dyDescent="0.3">
      <c r="A68" s="35"/>
      <c r="B68" s="35"/>
      <c r="C68" s="36"/>
      <c r="D68" s="35"/>
      <c r="E68" s="36"/>
      <c r="F68" s="37"/>
      <c r="G68" s="38"/>
      <c r="H68" s="38"/>
      <c r="I68" s="38"/>
      <c r="J68" s="38"/>
      <c r="K68" s="38"/>
      <c r="L68" s="38"/>
      <c r="M68" s="38">
        <f t="shared" si="8"/>
        <v>0</v>
      </c>
    </row>
    <row r="69" spans="1:18" x14ac:dyDescent="0.3">
      <c r="A69" s="40"/>
      <c r="B69" s="39"/>
      <c r="C69" s="41"/>
      <c r="D69" s="42"/>
      <c r="E69" s="43"/>
      <c r="F69" s="39"/>
      <c r="G69" s="44">
        <f>SUM(G67:G68)</f>
        <v>0</v>
      </c>
      <c r="H69" s="44">
        <f t="shared" ref="H69" si="16">SUM(H67:H68)</f>
        <v>0</v>
      </c>
      <c r="I69" s="44">
        <f t="shared" ref="I69" si="17">SUM(I67:I68)</f>
        <v>0</v>
      </c>
      <c r="J69" s="44">
        <f t="shared" ref="J69" si="18">SUM(J67:J68)</f>
        <v>0</v>
      </c>
      <c r="K69" s="44">
        <f t="shared" ref="K69" si="19">SUM(K67:K68)</f>
        <v>0</v>
      </c>
      <c r="L69" s="44">
        <f t="shared" ref="L69:M69" si="20">SUM(L67:L68)</f>
        <v>0</v>
      </c>
      <c r="M69" s="44">
        <f t="shared" si="20"/>
        <v>0</v>
      </c>
    </row>
    <row r="70" spans="1:18" ht="17.25" thickBot="1" x14ac:dyDescent="0.35">
      <c r="A70" s="3"/>
      <c r="B70" s="3"/>
      <c r="C70" s="4"/>
      <c r="D70" s="3"/>
      <c r="E70" s="3"/>
      <c r="F70" s="5"/>
      <c r="G70" s="6">
        <f t="shared" ref="G70:M70" si="21">G4+G6+G9+G11+G13+G15+G17+G24+G42+G58+G66+G69</f>
        <v>2315.62</v>
      </c>
      <c r="H70" s="6">
        <f t="shared" si="21"/>
        <v>0</v>
      </c>
      <c r="I70" s="6">
        <f t="shared" si="21"/>
        <v>2662.45</v>
      </c>
      <c r="J70" s="6">
        <f t="shared" si="21"/>
        <v>437.42</v>
      </c>
      <c r="K70" s="6">
        <f t="shared" si="21"/>
        <v>2699.98</v>
      </c>
      <c r="L70" s="6">
        <f t="shared" si="21"/>
        <v>329.24</v>
      </c>
      <c r="M70" s="6">
        <f t="shared" si="21"/>
        <v>8444.7099999999991</v>
      </c>
    </row>
    <row r="71" spans="1:18" ht="17.25" thickTop="1" x14ac:dyDescent="0.3">
      <c r="A71" s="7"/>
      <c r="B71" s="7"/>
      <c r="C71" s="8"/>
      <c r="D71" s="7"/>
      <c r="E71" s="7"/>
      <c r="F71" s="7"/>
      <c r="G71" s="9"/>
      <c r="H71" s="9"/>
      <c r="I71" s="9"/>
      <c r="J71" s="9"/>
      <c r="K71" s="9"/>
      <c r="L71" s="9"/>
      <c r="M71" s="9"/>
      <c r="O71" s="10"/>
      <c r="R71" s="11"/>
    </row>
    <row r="72" spans="1:18" x14ac:dyDescent="0.3">
      <c r="E72" s="12"/>
      <c r="F72" s="12"/>
      <c r="N72" s="10"/>
      <c r="O72" s="10"/>
    </row>
    <row r="73" spans="1:18" ht="17.25" thickBot="1" x14ac:dyDescent="0.35">
      <c r="A73" s="7"/>
      <c r="B73" s="7"/>
      <c r="C73" s="8"/>
      <c r="D73" s="7"/>
      <c r="E73" s="7"/>
      <c r="F73" s="7"/>
      <c r="G73" s="9"/>
      <c r="H73" s="9"/>
      <c r="I73" s="9"/>
      <c r="J73" s="9"/>
      <c r="K73" s="9"/>
      <c r="L73" s="9"/>
      <c r="M73" s="9"/>
      <c r="O73" s="10"/>
    </row>
    <row r="74" spans="1:18" ht="17.25" thickBot="1" x14ac:dyDescent="0.35">
      <c r="A74" s="7"/>
      <c r="B74" s="7"/>
      <c r="C74" s="7"/>
      <c r="D74" s="7"/>
      <c r="E74" s="7"/>
      <c r="F74" s="13" t="s">
        <v>13</v>
      </c>
      <c r="G74" s="14"/>
      <c r="H74" s="14"/>
      <c r="I74" s="14"/>
      <c r="J74" s="14"/>
      <c r="K74" s="14"/>
      <c r="L74" s="14"/>
      <c r="M74" s="15"/>
    </row>
    <row r="75" spans="1:18" ht="52.5" x14ac:dyDescent="0.3">
      <c r="A75" s="7"/>
      <c r="B75" s="7"/>
      <c r="C75" s="7"/>
      <c r="D75" s="7"/>
      <c r="E75" s="7"/>
      <c r="F75" s="16"/>
      <c r="G75" s="17" t="s">
        <v>6</v>
      </c>
      <c r="H75" s="18" t="s">
        <v>14</v>
      </c>
      <c r="I75" s="18" t="s">
        <v>15</v>
      </c>
      <c r="J75" s="18" t="s">
        <v>16</v>
      </c>
      <c r="K75" s="18" t="s">
        <v>10</v>
      </c>
      <c r="L75" s="18" t="s">
        <v>11</v>
      </c>
      <c r="M75" s="19" t="s">
        <v>17</v>
      </c>
    </row>
    <row r="76" spans="1:18" x14ac:dyDescent="0.3">
      <c r="A76" s="7"/>
      <c r="B76" s="7"/>
      <c r="C76" s="7"/>
      <c r="D76" s="7"/>
      <c r="E76" s="7"/>
      <c r="F76" s="20" t="s">
        <v>18</v>
      </c>
      <c r="G76" s="21">
        <f>G70-G77</f>
        <v>0</v>
      </c>
      <c r="H76" s="21">
        <f>H70-H77</f>
        <v>0</v>
      </c>
      <c r="I76" s="21">
        <f t="shared" ref="I76:M76" si="22">I70-I77</f>
        <v>361.44999999999982</v>
      </c>
      <c r="J76" s="21">
        <f t="shared" si="22"/>
        <v>321.3</v>
      </c>
      <c r="K76" s="21">
        <f>K70-K77</f>
        <v>379.75</v>
      </c>
      <c r="L76" s="21">
        <f t="shared" si="22"/>
        <v>0</v>
      </c>
      <c r="M76" s="21">
        <f t="shared" si="22"/>
        <v>1062.5</v>
      </c>
    </row>
    <row r="77" spans="1:18" x14ac:dyDescent="0.3">
      <c r="A77" s="7"/>
      <c r="B77" s="7"/>
      <c r="C77" s="7"/>
      <c r="D77" s="7"/>
      <c r="E77" s="7"/>
      <c r="F77" s="20" t="s">
        <v>19</v>
      </c>
      <c r="G77" s="21">
        <f t="shared" ref="G77:M77" si="23">G66+G58+G42+G24</f>
        <v>2315.62</v>
      </c>
      <c r="H77" s="21">
        <f t="shared" si="23"/>
        <v>0</v>
      </c>
      <c r="I77" s="21">
        <f t="shared" si="23"/>
        <v>2301</v>
      </c>
      <c r="J77" s="21">
        <f t="shared" si="23"/>
        <v>116.12000000000002</v>
      </c>
      <c r="K77" s="21">
        <f t="shared" si="23"/>
        <v>2320.23</v>
      </c>
      <c r="L77" s="21">
        <f t="shared" si="23"/>
        <v>329.24</v>
      </c>
      <c r="M77" s="21">
        <f t="shared" si="23"/>
        <v>7382.2099999999991</v>
      </c>
    </row>
    <row r="78" spans="1:18" x14ac:dyDescent="0.3">
      <c r="A78" s="7"/>
      <c r="B78" s="7"/>
      <c r="C78" s="7"/>
      <c r="D78" s="7"/>
      <c r="E78" s="7"/>
      <c r="F78" s="22" t="s">
        <v>20</v>
      </c>
      <c r="G78" s="23">
        <f t="shared" ref="G78:L78" si="24">SUM(G76:G77)</f>
        <v>2315.62</v>
      </c>
      <c r="H78" s="23">
        <f>SUM(H76:H77)</f>
        <v>0</v>
      </c>
      <c r="I78" s="23">
        <f t="shared" si="24"/>
        <v>2662.45</v>
      </c>
      <c r="J78" s="23">
        <f t="shared" si="24"/>
        <v>437.42</v>
      </c>
      <c r="K78" s="23">
        <f t="shared" si="24"/>
        <v>2699.98</v>
      </c>
      <c r="L78" s="23">
        <f t="shared" si="24"/>
        <v>329.24</v>
      </c>
      <c r="M78" s="24">
        <f>SUM(G78:L78)</f>
        <v>8444.7099999999991</v>
      </c>
      <c r="N78" s="25"/>
    </row>
    <row r="79" spans="1:18" ht="17.25" thickBot="1" x14ac:dyDescent="0.35">
      <c r="A79" s="7"/>
      <c r="B79" s="7"/>
      <c r="C79" s="7"/>
      <c r="D79" s="7"/>
      <c r="E79" s="7"/>
      <c r="F79" s="26" t="s">
        <v>21</v>
      </c>
      <c r="G79" s="27">
        <f t="shared" ref="G79:L79" si="25">SUM(G78:G78)</f>
        <v>2315.62</v>
      </c>
      <c r="H79" s="27">
        <f t="shared" si="25"/>
        <v>0</v>
      </c>
      <c r="I79" s="27">
        <f t="shared" si="25"/>
        <v>2662.45</v>
      </c>
      <c r="J79" s="27">
        <f t="shared" si="25"/>
        <v>437.42</v>
      </c>
      <c r="K79" s="27">
        <f t="shared" si="25"/>
        <v>2699.98</v>
      </c>
      <c r="L79" s="27">
        <f t="shared" si="25"/>
        <v>329.24</v>
      </c>
      <c r="M79" s="28">
        <f>SUM(G79:L79)</f>
        <v>8444.7099999999991</v>
      </c>
    </row>
    <row r="80" spans="1:18" x14ac:dyDescent="0.3">
      <c r="A80" s="7"/>
      <c r="B80" s="7"/>
      <c r="C80" s="7"/>
      <c r="D80" s="7"/>
      <c r="E80" s="7"/>
      <c r="F80" s="7"/>
      <c r="G80" s="9"/>
      <c r="H80" s="9"/>
      <c r="I80" s="9"/>
      <c r="J80" s="9"/>
      <c r="K80" s="9"/>
      <c r="L80" s="9"/>
      <c r="M80" s="9"/>
    </row>
    <row r="82" spans="13:13" x14ac:dyDescent="0.3">
      <c r="M82" s="10"/>
    </row>
  </sheetData>
  <autoFilter ref="A2:M70" xr:uid="{00000000-0001-0000-0300-000000000000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DE99-FE98-4CA2-B342-92DFC81DD920}">
  <dimension ref="A1:K50"/>
  <sheetViews>
    <sheetView tabSelected="1" zoomScaleNormal="100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Q11" sqref="Q11"/>
    </sheetView>
  </sheetViews>
  <sheetFormatPr defaultColWidth="9.140625" defaultRowHeight="16.5" x14ac:dyDescent="0.3"/>
  <cols>
    <col min="1" max="1" width="19.5703125" style="53" customWidth="1"/>
    <col min="2" max="2" width="29.85546875" style="53" customWidth="1"/>
    <col min="3" max="3" width="8.5703125" style="53" bestFit="1" customWidth="1"/>
    <col min="4" max="4" width="9.140625" style="53"/>
    <col min="5" max="5" width="10.7109375" style="53" customWidth="1"/>
    <col min="6" max="9" width="9.140625" style="53"/>
    <col min="10" max="10" width="9.5703125" style="53" bestFit="1" customWidth="1"/>
    <col min="11" max="11" width="9.140625" style="53"/>
    <col min="12" max="12" width="9.5703125" style="53" bestFit="1" customWidth="1"/>
    <col min="13" max="13" width="9.140625" style="53"/>
    <col min="14" max="14" width="17" style="53" customWidth="1"/>
    <col min="15" max="16384" width="9.140625" style="53"/>
  </cols>
  <sheetData>
    <row r="1" spans="1:11" ht="23.25" x14ac:dyDescent="0.35">
      <c r="A1" s="51" t="s">
        <v>30</v>
      </c>
      <c r="B1" s="51"/>
      <c r="C1" s="51"/>
      <c r="D1" s="51"/>
      <c r="E1" s="51"/>
      <c r="F1" s="51"/>
      <c r="G1" s="51"/>
      <c r="H1" s="52"/>
      <c r="I1" s="52"/>
    </row>
    <row r="2" spans="1:11" ht="52.5" x14ac:dyDescent="0.3">
      <c r="A2" s="54" t="s">
        <v>0</v>
      </c>
      <c r="B2" s="54" t="s">
        <v>1</v>
      </c>
      <c r="C2" s="55" t="s">
        <v>6</v>
      </c>
      <c r="D2" s="55" t="s">
        <v>8</v>
      </c>
      <c r="E2" s="55" t="s">
        <v>27</v>
      </c>
      <c r="F2" s="55" t="s">
        <v>28</v>
      </c>
      <c r="G2" s="55" t="s">
        <v>10</v>
      </c>
      <c r="H2" s="55" t="s">
        <v>11</v>
      </c>
      <c r="I2" s="55" t="s">
        <v>12</v>
      </c>
    </row>
    <row r="3" spans="1:11" x14ac:dyDescent="0.3">
      <c r="A3" s="95" t="str">
        <f>'Apr - Jun 2022'!A3</f>
        <v>Berry, Lynne</v>
      </c>
      <c r="B3" s="56" t="s">
        <v>96</v>
      </c>
      <c r="C3" s="59"/>
      <c r="D3" s="59"/>
      <c r="E3" s="59"/>
      <c r="F3" s="59"/>
      <c r="G3" s="59"/>
      <c r="H3" s="59"/>
      <c r="I3" s="94">
        <f t="shared" ref="I3:I5" si="0">SUM(C3:H3)</f>
        <v>0</v>
      </c>
    </row>
    <row r="4" spans="1:11" x14ac:dyDescent="0.3">
      <c r="A4" s="95" t="str">
        <f>'Apr - Jun 2022'!A5</f>
        <v>Bowman, Deborah</v>
      </c>
      <c r="B4" s="58" t="s">
        <v>95</v>
      </c>
      <c r="C4" s="59"/>
      <c r="D4" s="59"/>
      <c r="E4" s="59"/>
      <c r="F4" s="59"/>
      <c r="G4" s="59"/>
      <c r="H4" s="59"/>
      <c r="I4" s="94">
        <f t="shared" si="0"/>
        <v>0</v>
      </c>
    </row>
    <row r="5" spans="1:11" x14ac:dyDescent="0.3">
      <c r="A5" s="95" t="str">
        <f>'Apr - Jun 2022'!A7</f>
        <v>Chakraborti, Tom</v>
      </c>
      <c r="B5" s="58" t="s">
        <v>95</v>
      </c>
      <c r="C5" s="59"/>
      <c r="D5" s="59"/>
      <c r="E5" s="59"/>
      <c r="F5" s="59"/>
      <c r="G5" s="59"/>
      <c r="H5" s="59"/>
      <c r="I5" s="94">
        <f t="shared" si="0"/>
        <v>0</v>
      </c>
    </row>
    <row r="6" spans="1:11" x14ac:dyDescent="0.3">
      <c r="A6" s="95" t="str">
        <f>'Apr - Jun 2022'!A9</f>
        <v>Crowe, Gary</v>
      </c>
      <c r="B6" s="58" t="s">
        <v>108</v>
      </c>
      <c r="C6" s="59">
        <f>SUM('Apr - Jun 2022'!G11+'Jul - Sep 2022'!G10+'Oct - Dec 2022'!G22+'Jan - Mar 2023'!G9)</f>
        <v>0</v>
      </c>
      <c r="D6" s="59">
        <f>SUM('Apr - Jun 2022'!H11+'Jul - Sep 2022'!H10+'Oct - Dec 2022'!H22+'Jan - Mar 2023'!H9)</f>
        <v>294.75</v>
      </c>
      <c r="E6" s="59">
        <f>SUM('Apr - Jun 2022'!I11+'Jul - Sep 2022'!I10+'Oct - Dec 2022'!I22+'Jan - Mar 2023'!I9)</f>
        <v>291.2</v>
      </c>
      <c r="F6" s="59">
        <f>SUM('Apr - Jun 2022'!J11+'Jul - Sep 2022'!J10+'Oct - Dec 2022'!J22+'Jan - Mar 2023'!J9)</f>
        <v>129.1</v>
      </c>
      <c r="G6" s="59">
        <f>SUM('Apr - Jun 2022'!K11+'Jul - Sep 2022'!K10+'Oct - Dec 2022'!K22+'Jan - Mar 2023'!K9)</f>
        <v>409.75</v>
      </c>
      <c r="H6" s="59">
        <f>SUM('Apr - Jun 2022'!L11+'Jul - Sep 2022'!L10+'Oct - Dec 2022'!L22+'Jan - Mar 2023'!L9)</f>
        <v>0</v>
      </c>
      <c r="I6" s="94">
        <f>SUM(C6:H6)</f>
        <v>1124.8000000000002</v>
      </c>
    </row>
    <row r="7" spans="1:11" x14ac:dyDescent="0.3">
      <c r="A7" s="95" t="str">
        <f>'Apr - Jun 2022'!A12</f>
        <v>Dodds, Helen</v>
      </c>
      <c r="B7" s="58" t="s">
        <v>95</v>
      </c>
      <c r="C7" s="59">
        <f>SUM('Apr - Jun 2022'!G13+'Jul - Sep 2022'!G12+'Oct - Dec 2022'!G26+'Jan - Mar 2023'!G11)</f>
        <v>0</v>
      </c>
      <c r="D7" s="59">
        <f>SUM('Apr - Jun 2022'!H13+'Jul - Sep 2022'!H12+'Oct - Dec 2022'!H26+'Jan - Mar 2023'!H11)</f>
        <v>43.7</v>
      </c>
      <c r="E7" s="59">
        <f>SUM('Apr - Jun 2022'!I13+'Jul - Sep 2022'!I12+'Oct - Dec 2022'!I26+'Jan - Mar 2023'!I11)</f>
        <v>90</v>
      </c>
      <c r="F7" s="59">
        <f>SUM('Apr - Jun 2022'!J13+'Jul - Sep 2022'!J12+'Oct - Dec 2022'!J26+'Jan - Mar 2023'!J11)</f>
        <v>0</v>
      </c>
      <c r="G7" s="59">
        <f>SUM('Apr - Jun 2022'!K13+'Jul - Sep 2022'!K12+'Oct - Dec 2022'!K26+'Jan - Mar 2023'!K11)</f>
        <v>0</v>
      </c>
      <c r="H7" s="59">
        <f>SUM('Apr - Jun 2022'!L13+'Jul - Sep 2022'!L12+'Oct - Dec 2022'!L26+'Jan - Mar 2023'!L11)</f>
        <v>0</v>
      </c>
      <c r="I7" s="94">
        <f t="shared" ref="I7:I16" si="1">SUM(C7:H7)</f>
        <v>133.69999999999999</v>
      </c>
      <c r="K7"/>
    </row>
    <row r="8" spans="1:11" x14ac:dyDescent="0.3">
      <c r="A8" s="95" t="str">
        <f>'Apr - Jun 2022'!A14</f>
        <v>Donovan, Ellen</v>
      </c>
      <c r="B8" s="58" t="s">
        <v>95</v>
      </c>
      <c r="C8" s="59">
        <f>SUM('Apr - Jun 2022'!G15+'Jul - Sep 2022'!G14+'Oct - Dec 2022'!G30+'Jan - Mar 2023'!G13)</f>
        <v>0</v>
      </c>
      <c r="D8" s="59">
        <f>SUM('Apr - Jun 2022'!H15+'Jul - Sep 2022'!H14+'Oct - Dec 2022'!H30+'Jan - Mar 2023'!H13)</f>
        <v>373</v>
      </c>
      <c r="E8" s="59">
        <f>SUM('Apr - Jun 2022'!I15+'Jul - Sep 2022'!I14+'Oct - Dec 2022'!I30+'Jan - Mar 2023'!I13)</f>
        <v>53.150000000000006</v>
      </c>
      <c r="F8" s="59">
        <f>SUM('Apr - Jun 2022'!J15+'Jul - Sep 2022'!J14+'Oct - Dec 2022'!J30+'Jan - Mar 2023'!J13)</f>
        <v>190.3</v>
      </c>
      <c r="G8" s="59">
        <f>SUM('Apr - Jun 2022'!K15+'Jul - Sep 2022'!K14+'Oct - Dec 2022'!K30+'Jan - Mar 2023'!K13)</f>
        <v>141.69</v>
      </c>
      <c r="H8" s="59">
        <f>SUM('Apr - Jun 2022'!L15+'Jul - Sep 2022'!L14+'Oct - Dec 2022'!L30+'Jan - Mar 2023'!L13)</f>
        <v>0</v>
      </c>
      <c r="I8" s="94">
        <f t="shared" si="1"/>
        <v>758.1400000000001</v>
      </c>
      <c r="K8"/>
    </row>
    <row r="9" spans="1:11" x14ac:dyDescent="0.3">
      <c r="A9" s="95" t="str">
        <f>'Apr - Jun 2022'!A16</f>
        <v>Greenfield, Andy</v>
      </c>
      <c r="B9" s="58" t="s">
        <v>95</v>
      </c>
      <c r="C9" s="59">
        <f>SUM('Apr - Jun 2022'!G17+'Jul - Sep 2022'!G16+'Oct - Dec 2022'!G34+'Jan - Mar 2023'!G15)</f>
        <v>0</v>
      </c>
      <c r="D9" s="59">
        <f>SUM('Apr - Jun 2022'!H17+'Jul - Sep 2022'!H16+'Oct - Dec 2022'!H34+'Jan - Mar 2023'!H15)</f>
        <v>141.5</v>
      </c>
      <c r="E9" s="59">
        <f>SUM('Apr - Jun 2022'!I17+'Jul - Sep 2022'!I16+'Oct - Dec 2022'!I34+'Jan - Mar 2023'!I15)</f>
        <v>78.300000000000011</v>
      </c>
      <c r="F9" s="59">
        <f>SUM('Apr - Jun 2022'!J17+'Jul - Sep 2022'!J16+'Oct - Dec 2022'!J34+'Jan - Mar 2023'!J15)</f>
        <v>6.7</v>
      </c>
      <c r="G9" s="59">
        <f>SUM('Apr - Jun 2022'!K17+'Jul - Sep 2022'!K16+'Oct - Dec 2022'!K34+'Jan - Mar 2023'!K15)</f>
        <v>0</v>
      </c>
      <c r="H9" s="59">
        <f>SUM('Apr - Jun 2022'!L17+'Jul - Sep 2022'!L16+'Oct - Dec 2022'!L34+'Jan - Mar 2023'!L15)</f>
        <v>0</v>
      </c>
      <c r="I9" s="94">
        <f t="shared" si="1"/>
        <v>226.5</v>
      </c>
      <c r="K9"/>
    </row>
    <row r="10" spans="1:11" x14ac:dyDescent="0.3">
      <c r="A10" s="95" t="str">
        <f>'Apr - Jun 2022'!A18</f>
        <v>Griffiths, Charmaine</v>
      </c>
      <c r="B10" s="58" t="s">
        <v>95</v>
      </c>
      <c r="C10" s="59">
        <f>SUM('Apr - Jun 2022'!G19+'Jul - Sep 2022'!G18)</f>
        <v>0</v>
      </c>
      <c r="D10" s="59">
        <f>SUM('Apr - Jun 2022'!H19+'Jul - Sep 2022'!H18)</f>
        <v>0</v>
      </c>
      <c r="E10" s="59">
        <f>SUM('Apr - Jun 2022'!I19+'Jul - Sep 2022'!I18)</f>
        <v>0</v>
      </c>
      <c r="F10" s="59">
        <f>SUM('Apr - Jun 2022'!J19+'Jul - Sep 2022'!J18)</f>
        <v>0</v>
      </c>
      <c r="G10" s="59">
        <f>SUM('Apr - Jun 2022'!K19+'Jul - Sep 2022'!K18)</f>
        <v>0</v>
      </c>
      <c r="H10" s="59">
        <f>SUM('Apr - Jun 2022'!L19+'Jul - Sep 2022'!L18)</f>
        <v>0</v>
      </c>
      <c r="I10" s="94">
        <f t="shared" si="1"/>
        <v>0</v>
      </c>
      <c r="K10"/>
    </row>
    <row r="11" spans="1:11" x14ac:dyDescent="0.3">
      <c r="A11" s="95" t="str">
        <f>'Apr - Jun 2022'!A20</f>
        <v>Lewis,  David</v>
      </c>
      <c r="B11" s="58" t="s">
        <v>95</v>
      </c>
      <c r="C11" s="59">
        <f>SUM('Apr - Jun 2022'!G21+'Jul - Sep 2022'!G20+'Oct - Dec 2022'!G38+'Jan - Mar 2023'!G17)</f>
        <v>0</v>
      </c>
      <c r="D11" s="59">
        <f>SUM('Apr - Jun 2022'!H21+'Jul - Sep 2022'!H20+'Oct - Dec 2022'!H38+'Jan - Mar 2023'!H17)</f>
        <v>76.2</v>
      </c>
      <c r="E11" s="59">
        <f>SUM('Apr - Jun 2022'!I21+'Jul - Sep 2022'!I20+'Oct - Dec 2022'!I38+'Jan - Mar 2023'!I17)</f>
        <v>56.85</v>
      </c>
      <c r="F11" s="59">
        <f>SUM('Apr - Jun 2022'!J21+'Jul - Sep 2022'!J20+'Oct - Dec 2022'!J38+'Jan - Mar 2023'!J17)</f>
        <v>0</v>
      </c>
      <c r="G11" s="59">
        <f>SUM('Apr - Jun 2022'!K21+'Jul - Sep 2022'!K20+'Oct - Dec 2022'!K38+'Jan - Mar 2023'!K17)</f>
        <v>0</v>
      </c>
      <c r="H11" s="59">
        <f>SUM('Apr - Jun 2022'!L21+'Jul - Sep 2022'!L20+'Oct - Dec 2022'!L38+'Jan - Mar 2023'!L17)</f>
        <v>0</v>
      </c>
      <c r="I11" s="94">
        <f t="shared" si="1"/>
        <v>133.05000000000001</v>
      </c>
      <c r="K11"/>
    </row>
    <row r="12" spans="1:11" x14ac:dyDescent="0.3">
      <c r="A12" s="56"/>
      <c r="B12" s="56"/>
      <c r="C12" s="59"/>
      <c r="D12" s="59"/>
      <c r="E12" s="59"/>
      <c r="F12" s="59"/>
      <c r="G12" s="59"/>
      <c r="H12" s="59"/>
      <c r="I12" s="59"/>
      <c r="K12"/>
    </row>
    <row r="13" spans="1:11" x14ac:dyDescent="0.3">
      <c r="A13" s="93" t="s">
        <v>120</v>
      </c>
      <c r="B13" s="58"/>
      <c r="C13" s="59">
        <f>'Jul - Sep 2022'!G27+'Oct - Dec 2022'!G53+'Jan - Mar 2023'!G24</f>
        <v>0</v>
      </c>
      <c r="D13" s="59">
        <f>'Jul - Sep 2022'!H27+'Oct - Dec 2022'!H53+'Jan - Mar 2023'!H24</f>
        <v>272.59999999999997</v>
      </c>
      <c r="E13" s="59">
        <f>'Jul - Sep 2022'!I27+'Oct - Dec 2022'!I53+'Jan - Mar 2023'!I24</f>
        <v>246</v>
      </c>
      <c r="F13" s="59">
        <f>'Jul - Sep 2022'!J27+'Oct - Dec 2022'!J53+'Jan - Mar 2023'!J24</f>
        <v>50</v>
      </c>
      <c r="G13" s="59">
        <f>'Jul - Sep 2022'!K27+'Oct - Dec 2022'!K53+'Jan - Mar 2023'!K24</f>
        <v>106.45</v>
      </c>
      <c r="H13" s="59">
        <f>'Jul - Sep 2022'!L27+'Oct - Dec 2022'!L53+'Jan - Mar 2023'!L24</f>
        <v>0</v>
      </c>
      <c r="I13" s="94">
        <f t="shared" si="1"/>
        <v>675.05</v>
      </c>
      <c r="K13"/>
    </row>
    <row r="14" spans="1:11" x14ac:dyDescent="0.3">
      <c r="A14" s="95" t="s">
        <v>56</v>
      </c>
      <c r="B14" s="56"/>
      <c r="C14" s="38">
        <f>'Apr - Jun 2022'!G28+'Jul - Sep 2022'!G22+'Oct - Dec 2022'!G46+'Jan - Mar 2023'!G66</f>
        <v>252.66</v>
      </c>
      <c r="D14" s="38">
        <f>'Apr - Jun 2022'!H28+'Jul - Sep 2022'!H22+'Oct - Dec 2022'!H46+'Jan - Mar 2023'!H66</f>
        <v>1065.3500000000001</v>
      </c>
      <c r="E14" s="38">
        <f>'Apr - Jun 2022'!I28+'Jul - Sep 2022'!I22+'Oct - Dec 2022'!I46+'Jan - Mar 2023'!I66</f>
        <v>443.19999999999993</v>
      </c>
      <c r="F14" s="38">
        <f>'Apr - Jun 2022'!J28+'Jul - Sep 2022'!J22+'Oct - Dec 2022'!J46+'Jan - Mar 2023'!J66</f>
        <v>0</v>
      </c>
      <c r="G14" s="38">
        <f>'Apr - Jun 2022'!K28+'Jul - Sep 2022'!K22+'Oct - Dec 2022'!K46+'Jan - Mar 2023'!K66</f>
        <v>76.95</v>
      </c>
      <c r="H14" s="38">
        <f>'Apr - Jun 2022'!L28+'Jul - Sep 2022'!L22+'Oct - Dec 2022'!L46+'Jan - Mar 2023'!L66</f>
        <v>0</v>
      </c>
      <c r="I14" s="94">
        <f t="shared" si="1"/>
        <v>1838.16</v>
      </c>
      <c r="J14" s="96"/>
      <c r="K14"/>
    </row>
    <row r="15" spans="1:11" x14ac:dyDescent="0.3">
      <c r="A15" s="95" t="s">
        <v>76</v>
      </c>
      <c r="B15" s="56"/>
      <c r="C15" s="59">
        <f>'Apr - Jun 2022'!G33+'Jul - Sep 2022'!G25+'Oct - Dec 2022'!G78+'Jan - Mar 2023'!G58</f>
        <v>356.97</v>
      </c>
      <c r="D15" s="59">
        <f>'Apr - Jun 2022'!H33+'Jul - Sep 2022'!H25+'Oct - Dec 2022'!H78+'Jan - Mar 2023'!H58</f>
        <v>1481.9499999999998</v>
      </c>
      <c r="E15" s="59">
        <f>'Apr - Jun 2022'!I33+'Jul - Sep 2022'!I25+'Oct - Dec 2022'!I78+'Jan - Mar 2023'!I58</f>
        <v>1538.9</v>
      </c>
      <c r="F15" s="59">
        <f>'Apr - Jun 2022'!J33+'Jul - Sep 2022'!J25+'Oct - Dec 2022'!J78+'Jan - Mar 2023'!J58</f>
        <v>50</v>
      </c>
      <c r="G15" s="59">
        <f>'Apr - Jun 2022'!K33+'Jul - Sep 2022'!K25+'Oct - Dec 2022'!K78+'Jan - Mar 2023'!K58</f>
        <v>2215.9499999999998</v>
      </c>
      <c r="H15" s="59">
        <f>'Apr - Jun 2022'!L33+'Jul - Sep 2022'!L25+'Oct - Dec 2022'!L78+'Jan - Mar 2023'!L58</f>
        <v>509.33</v>
      </c>
      <c r="I15" s="94">
        <f t="shared" si="1"/>
        <v>6153.0999999999995</v>
      </c>
      <c r="J15" s="96"/>
      <c r="K15"/>
    </row>
    <row r="16" spans="1:11" x14ac:dyDescent="0.3">
      <c r="A16" s="95" t="s">
        <v>35</v>
      </c>
      <c r="B16" s="58"/>
      <c r="C16" s="59">
        <f>'Apr - Jun 2022'!G41+'Jul - Sep 2022'!G32+'Oct - Dec 2022'!G87+'Jan - Mar 2023'!G42</f>
        <v>3472.37</v>
      </c>
      <c r="D16" s="59">
        <f>'Apr - Jun 2022'!H41+'Jul - Sep 2022'!H32+'Oct - Dec 2022'!H87+'Jan - Mar 2023'!H42</f>
        <v>116.30000000000001</v>
      </c>
      <c r="E16" s="59">
        <f>'Apr - Jun 2022'!I41+'Jul - Sep 2022'!I32+'Oct - Dec 2022'!I87+'Jan - Mar 2023'!I42</f>
        <v>89.85</v>
      </c>
      <c r="F16" s="59">
        <f>'Apr - Jun 2022'!J41+'Jul - Sep 2022'!J32+'Oct - Dec 2022'!J87+'Jan - Mar 2023'!J42</f>
        <v>146.12</v>
      </c>
      <c r="G16" s="59">
        <f>'Apr - Jun 2022'!K41+'Jul - Sep 2022'!K32+'Oct - Dec 2022'!K87+'Jan - Mar 2023'!K42</f>
        <v>2367.04</v>
      </c>
      <c r="H16" s="59">
        <f>'Apr - Jun 2022'!L41+'Jul - Sep 2022'!L32+'Oct - Dec 2022'!L87+'Jan - Mar 2023'!L42</f>
        <v>445.28000000000003</v>
      </c>
      <c r="I16" s="94">
        <f t="shared" si="1"/>
        <v>6636.96</v>
      </c>
      <c r="J16" s="96"/>
      <c r="K16"/>
    </row>
    <row r="17" spans="1:10" x14ac:dyDescent="0.3">
      <c r="A17" s="56"/>
      <c r="B17" s="56"/>
      <c r="C17" s="38"/>
      <c r="D17" s="38"/>
      <c r="E17" s="38"/>
      <c r="F17" s="38"/>
      <c r="G17" s="38"/>
      <c r="H17" s="38"/>
      <c r="I17" s="59"/>
      <c r="J17" s="96"/>
    </row>
    <row r="18" spans="1:10" x14ac:dyDescent="0.3">
      <c r="A18" s="56"/>
      <c r="B18" s="56"/>
      <c r="C18" s="59"/>
      <c r="D18" s="59"/>
      <c r="E18" s="59"/>
      <c r="F18" s="59"/>
      <c r="G18" s="59"/>
      <c r="H18" s="59"/>
      <c r="I18" s="59"/>
    </row>
    <row r="19" spans="1:10" x14ac:dyDescent="0.3">
      <c r="A19" s="93"/>
      <c r="B19" s="58"/>
      <c r="C19" s="94"/>
      <c r="D19" s="94"/>
      <c r="E19" s="94"/>
      <c r="F19" s="94"/>
      <c r="G19" s="94"/>
      <c r="H19" s="94"/>
      <c r="I19" s="94"/>
    </row>
    <row r="20" spans="1:10" x14ac:dyDescent="0.3">
      <c r="A20" s="56"/>
      <c r="B20" s="56"/>
      <c r="C20" s="38"/>
      <c r="D20" s="38"/>
      <c r="E20" s="38"/>
      <c r="F20" s="38"/>
      <c r="G20" s="38"/>
      <c r="H20" s="38"/>
      <c r="I20" s="59"/>
    </row>
    <row r="21" spans="1:10" x14ac:dyDescent="0.3">
      <c r="A21" s="93"/>
      <c r="B21" s="58"/>
      <c r="C21" s="94"/>
      <c r="D21" s="94"/>
      <c r="E21" s="94"/>
      <c r="F21" s="94"/>
      <c r="G21" s="94"/>
      <c r="H21" s="94"/>
      <c r="I21" s="94"/>
    </row>
    <row r="22" spans="1:10" x14ac:dyDescent="0.3">
      <c r="A22" s="56"/>
      <c r="B22" s="56"/>
      <c r="C22" s="59"/>
      <c r="D22" s="59"/>
      <c r="E22" s="59"/>
      <c r="F22" s="59"/>
      <c r="G22" s="59"/>
      <c r="H22" s="59"/>
      <c r="I22" s="59"/>
    </row>
    <row r="23" spans="1:10" x14ac:dyDescent="0.3">
      <c r="A23" s="56"/>
      <c r="B23" s="56"/>
      <c r="C23" s="59"/>
      <c r="D23" s="59"/>
      <c r="E23" s="59"/>
      <c r="F23" s="59"/>
      <c r="G23" s="59"/>
      <c r="H23" s="59"/>
      <c r="I23" s="59"/>
    </row>
    <row r="24" spans="1:10" x14ac:dyDescent="0.3">
      <c r="A24" s="93"/>
      <c r="B24" s="58"/>
      <c r="C24" s="94"/>
      <c r="D24" s="94"/>
      <c r="E24" s="94"/>
      <c r="F24" s="94"/>
      <c r="G24" s="94"/>
      <c r="H24" s="94"/>
      <c r="I24" s="94"/>
    </row>
    <row r="25" spans="1:10" x14ac:dyDescent="0.3">
      <c r="A25" s="56"/>
      <c r="B25" s="56"/>
      <c r="C25" s="59"/>
      <c r="D25" s="59"/>
      <c r="E25" s="59"/>
      <c r="F25" s="59"/>
      <c r="G25" s="59"/>
      <c r="H25" s="59"/>
      <c r="I25" s="59"/>
    </row>
    <row r="26" spans="1:10" x14ac:dyDescent="0.3">
      <c r="A26" s="56"/>
      <c r="B26" s="56"/>
      <c r="C26" s="59"/>
      <c r="D26" s="59"/>
      <c r="E26" s="59"/>
      <c r="F26" s="59"/>
      <c r="G26" s="59"/>
      <c r="H26" s="59"/>
      <c r="I26" s="59"/>
    </row>
    <row r="27" spans="1:10" x14ac:dyDescent="0.3">
      <c r="A27" s="93"/>
      <c r="B27" s="58"/>
      <c r="C27" s="94"/>
      <c r="D27" s="94"/>
      <c r="E27" s="94"/>
      <c r="F27" s="94"/>
      <c r="G27" s="94"/>
      <c r="H27" s="94"/>
      <c r="I27" s="94"/>
    </row>
    <row r="28" spans="1:10" x14ac:dyDescent="0.3">
      <c r="A28" s="56"/>
      <c r="B28" s="56"/>
      <c r="C28" s="59"/>
      <c r="D28" s="59"/>
      <c r="E28" s="59"/>
      <c r="F28" s="59"/>
      <c r="G28" s="59"/>
      <c r="H28" s="59"/>
      <c r="I28" s="59"/>
    </row>
    <row r="29" spans="1:10" x14ac:dyDescent="0.3">
      <c r="A29" s="56"/>
      <c r="B29" s="56"/>
      <c r="C29" s="59"/>
      <c r="D29" s="59"/>
      <c r="E29" s="59"/>
      <c r="F29" s="59"/>
      <c r="G29" s="59"/>
      <c r="H29" s="59"/>
      <c r="I29" s="59"/>
    </row>
    <row r="30" spans="1:10" x14ac:dyDescent="0.3">
      <c r="A30" s="93"/>
      <c r="B30" s="58"/>
      <c r="C30" s="94"/>
      <c r="D30" s="94"/>
      <c r="E30" s="94"/>
      <c r="F30" s="94"/>
      <c r="G30" s="94"/>
      <c r="H30" s="94"/>
      <c r="I30" s="94"/>
    </row>
    <row r="31" spans="1:10" ht="15" customHeight="1" x14ac:dyDescent="0.3">
      <c r="A31" s="56"/>
      <c r="B31" s="56"/>
      <c r="C31" s="38"/>
      <c r="D31" s="38"/>
      <c r="E31" s="38"/>
      <c r="F31" s="38"/>
      <c r="G31" s="38"/>
      <c r="H31" s="38"/>
      <c r="I31" s="59"/>
    </row>
    <row r="32" spans="1:10" x14ac:dyDescent="0.3">
      <c r="A32" s="56"/>
      <c r="B32" s="56"/>
      <c r="C32" s="38"/>
      <c r="D32" s="38"/>
      <c r="E32" s="38"/>
      <c r="F32" s="38"/>
      <c r="G32" s="38"/>
      <c r="H32" s="38"/>
      <c r="I32" s="59"/>
    </row>
    <row r="33" spans="1:9" x14ac:dyDescent="0.3">
      <c r="A33" s="56"/>
      <c r="B33" s="56"/>
      <c r="C33" s="38"/>
      <c r="D33" s="38"/>
      <c r="E33" s="38"/>
      <c r="F33" s="38"/>
      <c r="G33" s="38"/>
      <c r="H33" s="38"/>
      <c r="I33" s="59"/>
    </row>
    <row r="34" spans="1:9" x14ac:dyDescent="0.3">
      <c r="A34" s="56"/>
      <c r="B34" s="56"/>
      <c r="C34" s="58"/>
      <c r="D34" s="59"/>
      <c r="E34" s="59"/>
      <c r="F34" s="59"/>
      <c r="G34" s="59"/>
      <c r="H34" s="59"/>
      <c r="I34" s="59"/>
    </row>
    <row r="35" spans="1:9" x14ac:dyDescent="0.3">
      <c r="A35" s="93"/>
      <c r="B35" s="58"/>
      <c r="C35" s="94"/>
      <c r="D35" s="94"/>
      <c r="E35" s="94"/>
      <c r="F35" s="94"/>
      <c r="G35" s="94"/>
      <c r="H35" s="94"/>
      <c r="I35" s="94"/>
    </row>
    <row r="36" spans="1:9" ht="15" customHeight="1" x14ac:dyDescent="0.3">
      <c r="A36" s="56"/>
      <c r="B36" s="56"/>
      <c r="C36" s="38"/>
      <c r="D36" s="38"/>
      <c r="E36" s="38"/>
      <c r="F36" s="38"/>
      <c r="G36" s="38"/>
      <c r="H36" s="38"/>
      <c r="I36" s="59"/>
    </row>
    <row r="37" spans="1:9" x14ac:dyDescent="0.3">
      <c r="A37" s="56"/>
      <c r="B37" s="56"/>
      <c r="C37" s="38"/>
      <c r="D37" s="38"/>
      <c r="E37" s="38"/>
      <c r="F37" s="38"/>
      <c r="G37" s="38"/>
      <c r="H37" s="38"/>
      <c r="I37" s="59"/>
    </row>
    <row r="38" spans="1:9" x14ac:dyDescent="0.3">
      <c r="A38" s="56"/>
      <c r="B38" s="56"/>
      <c r="C38" s="38"/>
      <c r="D38" s="38"/>
      <c r="E38" s="38"/>
      <c r="F38" s="38"/>
      <c r="G38" s="38"/>
      <c r="H38" s="38"/>
      <c r="I38" s="59"/>
    </row>
    <row r="39" spans="1:9" x14ac:dyDescent="0.3">
      <c r="A39" s="56"/>
      <c r="B39" s="56"/>
      <c r="C39" s="59"/>
      <c r="D39" s="59"/>
      <c r="E39" s="59"/>
      <c r="F39" s="59"/>
      <c r="G39" s="59"/>
      <c r="H39" s="59"/>
      <c r="I39" s="59"/>
    </row>
    <row r="40" spans="1:9" x14ac:dyDescent="0.3">
      <c r="A40" s="93"/>
      <c r="B40" s="58"/>
      <c r="C40" s="94"/>
      <c r="D40" s="94"/>
      <c r="E40" s="94"/>
      <c r="F40" s="94"/>
      <c r="G40" s="94"/>
      <c r="H40" s="94"/>
      <c r="I40" s="94"/>
    </row>
    <row r="41" spans="1:9" x14ac:dyDescent="0.3">
      <c r="A41" s="56" t="s">
        <v>57</v>
      </c>
      <c r="B41" s="56" t="s">
        <v>58</v>
      </c>
      <c r="C41" s="59"/>
      <c r="D41" s="59"/>
      <c r="E41" s="59"/>
      <c r="F41" s="59"/>
      <c r="G41" s="59"/>
      <c r="H41" s="59"/>
      <c r="I41" s="59">
        <f>SUM(C41:H41)</f>
        <v>0</v>
      </c>
    </row>
    <row r="42" spans="1:9" x14ac:dyDescent="0.3">
      <c r="A42" s="93"/>
      <c r="B42" s="58"/>
      <c r="C42" s="94">
        <f t="shared" ref="C42:I42" si="2">SUM(C41:C41)</f>
        <v>0</v>
      </c>
      <c r="D42" s="94">
        <f t="shared" si="2"/>
        <v>0</v>
      </c>
      <c r="E42" s="94">
        <f t="shared" si="2"/>
        <v>0</v>
      </c>
      <c r="F42" s="94">
        <f t="shared" si="2"/>
        <v>0</v>
      </c>
      <c r="G42" s="94">
        <f t="shared" si="2"/>
        <v>0</v>
      </c>
      <c r="H42" s="94">
        <f t="shared" si="2"/>
        <v>0</v>
      </c>
      <c r="I42" s="94">
        <f t="shared" si="2"/>
        <v>0</v>
      </c>
    </row>
    <row r="43" spans="1:9" x14ac:dyDescent="0.3">
      <c r="A43" s="67" t="s">
        <v>17</v>
      </c>
      <c r="B43" s="68"/>
      <c r="C43" s="72">
        <f t="shared" ref="C43:I43" si="3">C42+C40+C35+C30+C27+C24+C21+C19+C16+C13+C9+C7+C4</f>
        <v>3472.37</v>
      </c>
      <c r="D43" s="72">
        <f t="shared" si="3"/>
        <v>574.1</v>
      </c>
      <c r="E43" s="72">
        <f t="shared" si="3"/>
        <v>504.15000000000003</v>
      </c>
      <c r="F43" s="72">
        <f t="shared" si="3"/>
        <v>202.82</v>
      </c>
      <c r="G43" s="72">
        <f t="shared" si="3"/>
        <v>2473.4899999999998</v>
      </c>
      <c r="H43" s="72">
        <f t="shared" si="3"/>
        <v>445.28000000000003</v>
      </c>
      <c r="I43" s="72">
        <f t="shared" si="3"/>
        <v>7672.21</v>
      </c>
    </row>
    <row r="44" spans="1:9" ht="17.25" thickBot="1" x14ac:dyDescent="0.35"/>
    <row r="45" spans="1:9" ht="17.25" thickBot="1" x14ac:dyDescent="0.35">
      <c r="C45" s="73"/>
      <c r="D45" s="73"/>
      <c r="E45" s="73"/>
      <c r="F45" s="73"/>
      <c r="G45" s="73"/>
      <c r="H45" s="73"/>
      <c r="I45" s="74"/>
    </row>
    <row r="46" spans="1:9" ht="52.5" x14ac:dyDescent="0.3">
      <c r="C46" s="76" t="s">
        <v>6</v>
      </c>
      <c r="D46" s="77" t="s">
        <v>8</v>
      </c>
      <c r="E46" s="77" t="s">
        <v>27</v>
      </c>
      <c r="F46" s="77" t="s">
        <v>28</v>
      </c>
      <c r="G46" s="77" t="s">
        <v>10</v>
      </c>
      <c r="H46" s="77" t="s">
        <v>11</v>
      </c>
      <c r="I46" s="78" t="s">
        <v>12</v>
      </c>
    </row>
    <row r="47" spans="1:9" x14ac:dyDescent="0.3">
      <c r="C47" s="80">
        <f t="shared" ref="C47:I47" si="4">C43-C48</f>
        <v>3472.37</v>
      </c>
      <c r="D47" s="80">
        <f t="shared" si="4"/>
        <v>574.1</v>
      </c>
      <c r="E47" s="80">
        <f t="shared" si="4"/>
        <v>504.15000000000003</v>
      </c>
      <c r="F47" s="80">
        <f t="shared" si="4"/>
        <v>202.82</v>
      </c>
      <c r="G47" s="80">
        <f t="shared" si="4"/>
        <v>2473.4899999999998</v>
      </c>
      <c r="H47" s="80">
        <f t="shared" si="4"/>
        <v>445.28000000000003</v>
      </c>
      <c r="I47" s="80">
        <f t="shared" si="4"/>
        <v>7672.21</v>
      </c>
    </row>
    <row r="48" spans="1:9" x14ac:dyDescent="0.3">
      <c r="C48" s="80">
        <f t="shared" ref="C48:I48" si="5">C42+C40+C35+C30</f>
        <v>0</v>
      </c>
      <c r="D48" s="80">
        <f t="shared" si="5"/>
        <v>0</v>
      </c>
      <c r="E48" s="80">
        <f t="shared" si="5"/>
        <v>0</v>
      </c>
      <c r="F48" s="80">
        <f t="shared" si="5"/>
        <v>0</v>
      </c>
      <c r="G48" s="80">
        <f t="shared" si="5"/>
        <v>0</v>
      </c>
      <c r="H48" s="80">
        <f t="shared" si="5"/>
        <v>0</v>
      </c>
      <c r="I48" s="80">
        <f t="shared" si="5"/>
        <v>0</v>
      </c>
    </row>
    <row r="49" spans="3:9" x14ac:dyDescent="0.3">
      <c r="C49" s="82">
        <f t="shared" ref="C49:H49" si="6">SUM(C47:C48)</f>
        <v>3472.37</v>
      </c>
      <c r="D49" s="82">
        <f t="shared" si="6"/>
        <v>574.1</v>
      </c>
      <c r="E49" s="82">
        <f t="shared" si="6"/>
        <v>504.15000000000003</v>
      </c>
      <c r="F49" s="82">
        <f t="shared" si="6"/>
        <v>202.82</v>
      </c>
      <c r="G49" s="82">
        <f t="shared" si="6"/>
        <v>2473.4899999999998</v>
      </c>
      <c r="H49" s="82">
        <f t="shared" si="6"/>
        <v>445.28000000000003</v>
      </c>
      <c r="I49" s="83">
        <f>SUM(C49:H49)</f>
        <v>7672.2099999999991</v>
      </c>
    </row>
    <row r="50" spans="3:9" ht="17.25" thickBot="1" x14ac:dyDescent="0.35">
      <c r="C50" s="85">
        <f t="shared" ref="C50:H50" si="7">SUM(C49:C49)</f>
        <v>3472.37</v>
      </c>
      <c r="D50" s="85">
        <f t="shared" si="7"/>
        <v>574.1</v>
      </c>
      <c r="E50" s="85">
        <f t="shared" si="7"/>
        <v>504.15000000000003</v>
      </c>
      <c r="F50" s="85">
        <f t="shared" si="7"/>
        <v>202.82</v>
      </c>
      <c r="G50" s="85">
        <f t="shared" si="7"/>
        <v>2473.4899999999998</v>
      </c>
      <c r="H50" s="85">
        <f t="shared" si="7"/>
        <v>445.28000000000003</v>
      </c>
      <c r="I50" s="86">
        <f>SUM(C50:H50)</f>
        <v>7672.2099999999991</v>
      </c>
    </row>
  </sheetData>
  <autoFilter ref="A2:I2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URL xmlns="http://schemas.microsoft.com/sharepoint/v3">
      <Url xsi:nil="true"/>
      <Description xsi:nil="true"/>
    </URL>
    <Retention_x0020_Date xmlns="87c87ba5-d07f-475d-88c9-dd8ce55494ce" xsi:nil="true"/>
    <_dlc_DocId xmlns="da565c07-dda8-49d0-af77-97162e211c3a">AD75TJCKWPSD-255675493-19142</_dlc_DocId>
    <_dlc_DocIdUrl xmlns="da565c07-dda8-49d0-af77-97162e211c3a">
      <Url>https://htagovuk.sharepoint.com/sites/edrms/groups/_layouts/15/DocIdRedir.aspx?ID=AD75TJCKWPSD-255675493-19142</Url>
      <Description>AD75TJCKWPSD-255675493-19142</Description>
    </_dlc_DocIdUrl>
    <TaxCatchAll xmlns="da565c07-dda8-49d0-af77-97162e211c3a" xsi:nil="true"/>
    <lcf76f155ced4ddcb4097134ff3c332f xmlns="87c87ba5-d07f-475d-88c9-dd8ce55494ce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57" ma:contentTypeDescription="Create a new document." ma:contentTypeScope="" ma:versionID="477242245f16ae74a3e2e23144d7373c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b2b8b959f24c7bb331872b2769c0d865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813D2-7666-4150-9241-06B49551B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EBE0F7-13D2-4445-A1FF-937AC18825B5}">
  <ds:schemaRefs>
    <ds:schemaRef ds:uri="eea783ac-5207-47aa-9c2d-3db6bfc10da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87c87ba5-d07f-475d-88c9-dd8ce55494ce"/>
    <ds:schemaRef ds:uri="http://schemas.microsoft.com/sharepoint/v3"/>
    <ds:schemaRef ds:uri="da565c07-dda8-49d0-af77-97162e211c3a"/>
  </ds:schemaRefs>
</ds:datastoreItem>
</file>

<file path=customXml/itemProps3.xml><?xml version="1.0" encoding="utf-8"?>
<ds:datastoreItem xmlns:ds="http://schemas.openxmlformats.org/officeDocument/2006/customXml" ds:itemID="{332D2406-9DB2-42FC-9201-6DF9C48972A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C515F6F-D326-4435-8E70-D9FBA2D42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Jun 2022</vt:lpstr>
      <vt:lpstr>Jul - Sep 2022</vt:lpstr>
      <vt:lpstr>Oct - Dec 2022</vt:lpstr>
      <vt:lpstr>Jan - Mar 2023</vt:lpstr>
      <vt:lpstr>Summary 2022_23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Nicola Fookes</cp:lastModifiedBy>
  <cp:lastPrinted>2018-07-17T15:02:29Z</cp:lastPrinted>
  <dcterms:created xsi:type="dcterms:W3CDTF">2018-02-13T11:20:13Z</dcterms:created>
  <dcterms:modified xsi:type="dcterms:W3CDTF">2023-04-21T13:18:18Z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0x01010070FA452D68FE2C4C857151ED38B1EED91E002C69A7140A00C940AADD0359F6E04EDB</vt:lpwstr>
  </property>
  <property fmtid="{D5CDD505-2E9C-101B-9397-08002B2CF9AE}" pid="9" name="_dlc_DocIdItemGuid">
    <vt:lpwstr>93135a18-f26e-4f20-b27c-82bdde3c612b</vt:lpwstr>
  </property>
  <property fmtid="{D5CDD505-2E9C-101B-9397-08002B2CF9AE}" pid="10" name="MediaServiceImageTags">
    <vt:lpwstr/>
  </property>
</Properties>
</file>